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2f67b70b450baf/Desktop/"/>
    </mc:Choice>
  </mc:AlternateContent>
  <xr:revisionPtr revIDLastSave="0" documentId="8_{5D50E84F-D1B2-4860-8F35-4C29BE8EC481}" xr6:coauthVersionLast="47" xr6:coauthVersionMax="47" xr10:uidLastSave="{00000000-0000-0000-0000-000000000000}"/>
  <bookViews>
    <workbookView xWindow="-120" yWindow="-120" windowWidth="20730" windowHeight="11040" activeTab="3" xr2:uid="{2C799275-0C63-F148-8EAA-E542965F7A3C}"/>
  </bookViews>
  <sheets>
    <sheet name="Cash" sheetId="3" r:id="rId1"/>
    <sheet name="Expenditures" sheetId="4" r:id="rId2"/>
    <sheet name="Revenue" sheetId="5" r:id="rId3"/>
    <sheet name="Capital" sheetId="6" r:id="rId4"/>
  </sheets>
  <definedNames>
    <definedName name="_xlnm.Print_Area" localSheetId="3">Capital!$B$1:$P$30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9" i="5" l="1"/>
  <c r="Y39" i="5"/>
  <c r="X39" i="5"/>
  <c r="W39" i="5"/>
  <c r="V39" i="5"/>
  <c r="U39" i="5"/>
  <c r="T39" i="5"/>
  <c r="S39" i="5"/>
  <c r="J39" i="5"/>
  <c r="I39" i="5"/>
  <c r="H39" i="5"/>
  <c r="G39" i="5"/>
  <c r="F39" i="5"/>
  <c r="E39" i="5"/>
  <c r="D39" i="5"/>
  <c r="R38" i="5"/>
  <c r="O38" i="5"/>
  <c r="O39" i="5" s="1"/>
  <c r="N38" i="5"/>
  <c r="N39" i="5" s="1"/>
  <c r="L38" i="5"/>
  <c r="K38" i="5"/>
  <c r="AA37" i="5"/>
  <c r="L37" i="5"/>
  <c r="AD37" i="5" s="1"/>
  <c r="K37" i="5"/>
  <c r="AA36" i="5"/>
  <c r="AC36" i="5" s="1"/>
  <c r="L36" i="5"/>
  <c r="K36" i="5"/>
  <c r="Q35" i="5"/>
  <c r="AA35" i="5" s="1"/>
  <c r="L35" i="5"/>
  <c r="K35" i="5"/>
  <c r="AA34" i="5"/>
  <c r="L34" i="5"/>
  <c r="K34" i="5"/>
  <c r="R33" i="5"/>
  <c r="R39" i="5" s="1"/>
  <c r="Q33" i="5"/>
  <c r="Q39" i="5" s="1"/>
  <c r="P33" i="5"/>
  <c r="P39" i="5" s="1"/>
  <c r="L33" i="5"/>
  <c r="K33" i="5"/>
  <c r="AB31" i="5"/>
  <c r="Y31" i="5"/>
  <c r="X31" i="5"/>
  <c r="W31" i="5"/>
  <c r="V31" i="5"/>
  <c r="U31" i="5"/>
  <c r="T31" i="5"/>
  <c r="S31" i="5"/>
  <c r="R31" i="5"/>
  <c r="Q31" i="5"/>
  <c r="P31" i="5"/>
  <c r="O31" i="5"/>
  <c r="N31" i="5"/>
  <c r="J31" i="5"/>
  <c r="I31" i="5"/>
  <c r="H31" i="5"/>
  <c r="G31" i="5"/>
  <c r="F31" i="5"/>
  <c r="E31" i="5"/>
  <c r="D31" i="5"/>
  <c r="AA30" i="5"/>
  <c r="L30" i="5"/>
  <c r="AD30" i="5" s="1"/>
  <c r="K30" i="5"/>
  <c r="AD29" i="5"/>
  <c r="AA29" i="5"/>
  <c r="L29" i="5"/>
  <c r="AC29" i="5" s="1"/>
  <c r="K29" i="5"/>
  <c r="AA28" i="5"/>
  <c r="L28" i="5"/>
  <c r="K28" i="5"/>
  <c r="AA27" i="5"/>
  <c r="AC27" i="5" s="1"/>
  <c r="L27" i="5"/>
  <c r="K27" i="5"/>
  <c r="AA26" i="5"/>
  <c r="L26" i="5"/>
  <c r="AD26" i="5" s="1"/>
  <c r="K26" i="5"/>
  <c r="AA25" i="5"/>
  <c r="AD25" i="5" s="1"/>
  <c r="L25" i="5"/>
  <c r="K25" i="5"/>
  <c r="AA23" i="5"/>
  <c r="L23" i="5"/>
  <c r="K23" i="5"/>
  <c r="Y21" i="5"/>
  <c r="X21" i="5"/>
  <c r="W21" i="5"/>
  <c r="V21" i="5"/>
  <c r="T21" i="5"/>
  <c r="S21" i="5"/>
  <c r="Q21" i="5"/>
  <c r="P21" i="5"/>
  <c r="J21" i="5"/>
  <c r="I21" i="5"/>
  <c r="H21" i="5"/>
  <c r="G21" i="5"/>
  <c r="F21" i="5"/>
  <c r="E21" i="5"/>
  <c r="AA20" i="5"/>
  <c r="L20" i="5"/>
  <c r="K20" i="5"/>
  <c r="AA19" i="5"/>
  <c r="L19" i="5"/>
  <c r="AD19" i="5" s="1"/>
  <c r="K19" i="5"/>
  <c r="AB18" i="5"/>
  <c r="R18" i="5"/>
  <c r="AA18" i="5" s="1"/>
  <c r="K18" i="5"/>
  <c r="D18" i="5"/>
  <c r="L18" i="5" s="1"/>
  <c r="AB17" i="5"/>
  <c r="AB21" i="5" s="1"/>
  <c r="U17" i="5"/>
  <c r="U21" i="5" s="1"/>
  <c r="R17" i="5"/>
  <c r="K17" i="5"/>
  <c r="D17" i="5"/>
  <c r="O16" i="5"/>
  <c r="O21" i="5" s="1"/>
  <c r="N16" i="5"/>
  <c r="L16" i="5"/>
  <c r="K16" i="5"/>
  <c r="O15" i="5"/>
  <c r="N15" i="5"/>
  <c r="AA15" i="5" s="1"/>
  <c r="L15" i="5"/>
  <c r="K15" i="5"/>
  <c r="AA14" i="5"/>
  <c r="L14" i="5"/>
  <c r="AB11" i="5"/>
  <c r="AB40" i="5" s="1"/>
  <c r="Y11" i="5"/>
  <c r="X11" i="5"/>
  <c r="W11" i="5"/>
  <c r="V11" i="5"/>
  <c r="U11" i="5"/>
  <c r="T11" i="5"/>
  <c r="S11" i="5"/>
  <c r="R11" i="5"/>
  <c r="Q11" i="5"/>
  <c r="P11" i="5"/>
  <c r="O11" i="5"/>
  <c r="N11" i="5"/>
  <c r="J11" i="5"/>
  <c r="I11" i="5"/>
  <c r="H11" i="5"/>
  <c r="G11" i="5"/>
  <c r="G40" i="5" s="1"/>
  <c r="F11" i="5"/>
  <c r="E11" i="5"/>
  <c r="D11" i="5"/>
  <c r="AA10" i="5"/>
  <c r="L10" i="5"/>
  <c r="AD10" i="5" s="1"/>
  <c r="K10" i="5"/>
  <c r="AA9" i="5"/>
  <c r="L9" i="5"/>
  <c r="AC9" i="5" s="1"/>
  <c r="K9" i="5"/>
  <c r="AA8" i="5"/>
  <c r="L8" i="5"/>
  <c r="K8" i="5"/>
  <c r="AA7" i="5"/>
  <c r="AC7" i="5" s="1"/>
  <c r="L7" i="5"/>
  <c r="K7" i="5"/>
  <c r="AA6" i="5"/>
  <c r="L6" i="5"/>
  <c r="AD6" i="5" s="1"/>
  <c r="K6" i="5"/>
  <c r="AA5" i="5"/>
  <c r="AD5" i="5" s="1"/>
  <c r="L5" i="5"/>
  <c r="K5" i="5"/>
  <c r="AA4" i="5"/>
  <c r="L4" i="5"/>
  <c r="K4" i="5"/>
  <c r="C9" i="3"/>
  <c r="AD35" i="5" l="1"/>
  <c r="H40" i="5"/>
  <c r="AC10" i="5"/>
  <c r="D21" i="5"/>
  <c r="AA11" i="5"/>
  <c r="D40" i="5"/>
  <c r="W40" i="5"/>
  <c r="AA31" i="5"/>
  <c r="AC26" i="5"/>
  <c r="AC30" i="5"/>
  <c r="V40" i="5"/>
  <c r="AC6" i="5"/>
  <c r="X40" i="5"/>
  <c r="L17" i="5"/>
  <c r="AD17" i="5" s="1"/>
  <c r="AD36" i="5"/>
  <c r="AA17" i="5"/>
  <c r="J40" i="5"/>
  <c r="AD9" i="5"/>
  <c r="F40" i="5"/>
  <c r="Q40" i="5"/>
  <c r="Y40" i="5"/>
  <c r="AD34" i="5"/>
  <c r="AD15" i="5"/>
  <c r="R21" i="5"/>
  <c r="R40" i="5" s="1"/>
  <c r="AC19" i="5"/>
  <c r="AD20" i="5"/>
  <c r="AC5" i="5"/>
  <c r="AD8" i="5"/>
  <c r="E40" i="5"/>
  <c r="I40" i="5"/>
  <c r="O40" i="5"/>
  <c r="S40" i="5"/>
  <c r="AD14" i="5"/>
  <c r="N21" i="5"/>
  <c r="N40" i="5" s="1"/>
  <c r="AC25" i="5"/>
  <c r="AD28" i="5"/>
  <c r="K39" i="5"/>
  <c r="AA38" i="5"/>
  <c r="AC38" i="5" s="1"/>
  <c r="AD4" i="5"/>
  <c r="AD7" i="5"/>
  <c r="P40" i="5"/>
  <c r="T40" i="5"/>
  <c r="AA16" i="5"/>
  <c r="AC16" i="5" s="1"/>
  <c r="AD23" i="5"/>
  <c r="AD31" i="5" s="1"/>
  <c r="AD27" i="5"/>
  <c r="AA33" i="5"/>
  <c r="AA39" i="5" s="1"/>
  <c r="AC35" i="5"/>
  <c r="U40" i="5"/>
  <c r="K40" i="5"/>
  <c r="AD38" i="5"/>
  <c r="AC18" i="5"/>
  <c r="AD18" i="5"/>
  <c r="L39" i="5"/>
  <c r="L11" i="5"/>
  <c r="AC15" i="5"/>
  <c r="AD16" i="5"/>
  <c r="L21" i="5"/>
  <c r="L31" i="5"/>
  <c r="AC33" i="5"/>
  <c r="AC4" i="5"/>
  <c r="AC8" i="5"/>
  <c r="AC14" i="5"/>
  <c r="AC23" i="5"/>
  <c r="AC28" i="5"/>
  <c r="AC34" i="5"/>
  <c r="AC37" i="5"/>
  <c r="AD33" i="5" l="1"/>
  <c r="AD39" i="5" s="1"/>
  <c r="AC31" i="5"/>
  <c r="AD21" i="5"/>
  <c r="AC17" i="5"/>
  <c r="AC21" i="5" s="1"/>
  <c r="AC40" i="5" s="1"/>
  <c r="AC11" i="5"/>
  <c r="AA21" i="5"/>
  <c r="AA40" i="5" s="1"/>
  <c r="AD11" i="5"/>
  <c r="AD40" i="5" s="1"/>
  <c r="AC39" i="5"/>
  <c r="L40" i="5"/>
</calcChain>
</file>

<file path=xl/sharedStrings.xml><?xml version="1.0" encoding="utf-8"?>
<sst xmlns="http://schemas.openxmlformats.org/spreadsheetml/2006/main" count="209" uniqueCount="175">
  <si>
    <t>Bank of the West BNP Paribas</t>
  </si>
  <si>
    <t>South Central Regional Transit District</t>
  </si>
  <si>
    <t>General Account</t>
  </si>
  <si>
    <t>Money Market</t>
  </si>
  <si>
    <t>(Interest rate at .07% per year)</t>
  </si>
  <si>
    <t>Total Cash On Hand at 03/31/2023</t>
  </si>
  <si>
    <t>SOUTH CENTRAL REGIONAL TRANSIT DISTRICT</t>
  </si>
  <si>
    <t>FY2023 Quarterly Totals</t>
  </si>
  <si>
    <t>FY2020</t>
  </si>
  <si>
    <t>FY2021</t>
  </si>
  <si>
    <t>FY2022</t>
  </si>
  <si>
    <t>FY2023</t>
  </si>
  <si>
    <t>Amendment #1</t>
  </si>
  <si>
    <t>Amendment #2</t>
  </si>
  <si>
    <t>Amendment #3</t>
  </si>
  <si>
    <t>Amendment #4</t>
  </si>
  <si>
    <t>Revised FY2023 Budget</t>
  </si>
  <si>
    <t>Year to Date Expenditure</t>
  </si>
  <si>
    <t>% YTD</t>
  </si>
  <si>
    <t>Remaining Budgeted Expenses</t>
  </si>
  <si>
    <t>Jul-22</t>
  </si>
  <si>
    <t>Aug-22</t>
  </si>
  <si>
    <t>Sep-22</t>
  </si>
  <si>
    <t>First Quarter Total</t>
  </si>
  <si>
    <t>Oct-22</t>
  </si>
  <si>
    <t>Nov-22</t>
  </si>
  <si>
    <t>Dec-22</t>
  </si>
  <si>
    <t>Second Quarter Total</t>
  </si>
  <si>
    <t>Jan-23</t>
  </si>
  <si>
    <t>Feb-23</t>
  </si>
  <si>
    <t>Mar-23</t>
  </si>
  <si>
    <t>Third Quarter Total</t>
  </si>
  <si>
    <t>Apr-23</t>
  </si>
  <si>
    <t>May-23</t>
  </si>
  <si>
    <t>Jun-23</t>
  </si>
  <si>
    <t>Fourth Quarter Total</t>
  </si>
  <si>
    <t>YTD Expenditure</t>
  </si>
  <si>
    <t>Descriptions</t>
  </si>
  <si>
    <t>TOTAL</t>
  </si>
  <si>
    <t>Personnel Services</t>
  </si>
  <si>
    <t>Salaries</t>
  </si>
  <si>
    <t>Employee Benefits</t>
  </si>
  <si>
    <t>FICA/Medicare Tax</t>
  </si>
  <si>
    <t>Unemployment Tax</t>
  </si>
  <si>
    <t>Health Insurance and Life</t>
  </si>
  <si>
    <t>Retirement - PERA &amp; PERA Smart Save</t>
  </si>
  <si>
    <t>Travel &amp; Maintenance</t>
  </si>
  <si>
    <t>Travel - Reimbursement</t>
  </si>
  <si>
    <t xml:space="preserve">Fuel - WEX </t>
  </si>
  <si>
    <t>Maintenance on Vehicles</t>
  </si>
  <si>
    <t>Supplies</t>
  </si>
  <si>
    <t>Equipment &amp; Uniforms</t>
  </si>
  <si>
    <t>Shop Supplies &amp; Shop Tools</t>
  </si>
  <si>
    <t>Safety Equipment / Training</t>
  </si>
  <si>
    <t>Fareboxes</t>
  </si>
  <si>
    <t>Supplies (Covid19)</t>
  </si>
  <si>
    <t>Insurances</t>
  </si>
  <si>
    <t>General Liability</t>
  </si>
  <si>
    <t>Property Insurance</t>
  </si>
  <si>
    <t>Auto Insurance</t>
  </si>
  <si>
    <t>POL Insurance</t>
  </si>
  <si>
    <t>Workers Comp Insurance</t>
  </si>
  <si>
    <t xml:space="preserve">NM Municipal League - NMSIF </t>
  </si>
  <si>
    <t>Projects</t>
  </si>
  <si>
    <t>Bus Stop Refurbishing Project</t>
  </si>
  <si>
    <t>SBLB, LLC - On Call Project Consulting</t>
  </si>
  <si>
    <t>SBLB, LLC - Zero Emissions Consulting</t>
  </si>
  <si>
    <t>Contractual Services</t>
  </si>
  <si>
    <t>FineLine Graphics/Del Valle/Mason</t>
  </si>
  <si>
    <t>Legal Fees</t>
  </si>
  <si>
    <t>Professional Fees &amp; Svcs/Audit</t>
  </si>
  <si>
    <t>Alarm Monitoring / Airtime</t>
  </si>
  <si>
    <t>Services - Payday HCM  fees/Janitorial</t>
  </si>
  <si>
    <t>RC Creations/Misc</t>
  </si>
  <si>
    <t>Zia Therapy</t>
  </si>
  <si>
    <t>Vanpool Tech Support</t>
  </si>
  <si>
    <t>IT Services / Web Services</t>
  </si>
  <si>
    <t>Drug &amp; Alcohol Testing / Physicals / Background Checks</t>
  </si>
  <si>
    <t>Printer</t>
  </si>
  <si>
    <t>Signs</t>
  </si>
  <si>
    <t>Operating Costs</t>
  </si>
  <si>
    <t>Advertisements/Promotional</t>
  </si>
  <si>
    <t>Bus Facility Lease</t>
  </si>
  <si>
    <t>Cell phone / T-Mobile / Internet</t>
  </si>
  <si>
    <t>Conf/Seminars/Quickbooks/MS</t>
  </si>
  <si>
    <t>Office Equipment / COVID-19 Exp</t>
  </si>
  <si>
    <t>Postage</t>
  </si>
  <si>
    <t>Radios</t>
  </si>
  <si>
    <t>Facilty Maintenance</t>
  </si>
  <si>
    <t>Subscription/Dues/Chamber/Bank Fees</t>
  </si>
  <si>
    <t>Taxes &amp; Licenses</t>
  </si>
  <si>
    <t>Interest Expense</t>
  </si>
  <si>
    <t>Utilities</t>
  </si>
  <si>
    <t>Repaid Loan</t>
  </si>
  <si>
    <t>Total Expenses</t>
  </si>
  <si>
    <t>Operating  Revenue</t>
  </si>
  <si>
    <t>Budget - FY2023</t>
  </si>
  <si>
    <t>Amendment #5</t>
  </si>
  <si>
    <t>Amendment #6</t>
  </si>
  <si>
    <t>Revised Budget - FY2023</t>
  </si>
  <si>
    <t xml:space="preserve"> Y-T-D Received PMT </t>
  </si>
  <si>
    <t>Invoiced But Not Received</t>
  </si>
  <si>
    <t>% Y_T_D</t>
  </si>
  <si>
    <t xml:space="preserve"> Balance  </t>
  </si>
  <si>
    <t>Membership Dues</t>
  </si>
  <si>
    <t>CITY OF LAS CRUCES</t>
  </si>
  <si>
    <t>DONA ANA COUNTY</t>
  </si>
  <si>
    <t>SUNLAND PARK</t>
  </si>
  <si>
    <t>TOWN OF MESILLA</t>
  </si>
  <si>
    <t>VILLAGE OF HATCH</t>
  </si>
  <si>
    <t>CITY OF ANTHONY</t>
  </si>
  <si>
    <t>VILLAGE OF WILLIAMSBURG</t>
  </si>
  <si>
    <t>Subtotal</t>
  </si>
  <si>
    <t xml:space="preserve">Grants &amp; MOU </t>
  </si>
  <si>
    <t>Dona Ana County GRT</t>
  </si>
  <si>
    <t>P2101004</t>
  </si>
  <si>
    <t>NMDOT 5311 (carry over)</t>
  </si>
  <si>
    <t>MO1791-CARES-Rural</t>
  </si>
  <si>
    <t>MO1791-CARES-Intercity</t>
  </si>
  <si>
    <t>NMDOT 5311</t>
  </si>
  <si>
    <t>MO1833-CARES-Rural</t>
  </si>
  <si>
    <t>MO1833-CARES-Intercity</t>
  </si>
  <si>
    <t>City of Las Cruces - Zia Therapy</t>
  </si>
  <si>
    <t>Contracted Transit</t>
  </si>
  <si>
    <t>Mesilla Valley MPO (local)</t>
  </si>
  <si>
    <t>5307 Funds-Las Cruces</t>
  </si>
  <si>
    <t>TX DOT 5307 Funds</t>
  </si>
  <si>
    <t>Security</t>
  </si>
  <si>
    <t>Maintenance Staff</t>
  </si>
  <si>
    <t>Sunland Park Facility Lease</t>
  </si>
  <si>
    <t>Facility Supplies &amp; Cleaning</t>
  </si>
  <si>
    <t>Fuel</t>
  </si>
  <si>
    <t>Other Source Revenue</t>
  </si>
  <si>
    <t>Bus Fares/Ticket Sales</t>
  </si>
  <si>
    <t>Advertising Revenue</t>
  </si>
  <si>
    <t>DMV FEES</t>
  </si>
  <si>
    <t>Gillig Warranty</t>
  </si>
  <si>
    <t>NM Division of Vocational Rehabilitation</t>
  </si>
  <si>
    <t>Miscellaneous / Other Income</t>
  </si>
  <si>
    <t>TOTAL OPERATING REVENUES</t>
  </si>
  <si>
    <t>Capital Appropriations</t>
  </si>
  <si>
    <t>Budget - FY2020</t>
  </si>
  <si>
    <t>Budget - FY2021</t>
  </si>
  <si>
    <t>Budget - FY2022</t>
  </si>
  <si>
    <t>Local</t>
  </si>
  <si>
    <t>Capital Expense</t>
  </si>
  <si>
    <t>NM Legislature Pilot Van Program*</t>
  </si>
  <si>
    <t>State Legislature (Bus Local Match)**</t>
  </si>
  <si>
    <t>G2822</t>
  </si>
  <si>
    <t>Dona Ana County (local)</t>
  </si>
  <si>
    <t>Electric Buses, Charging Equipment, Training &amp; Property</t>
  </si>
  <si>
    <t>Lo-No</t>
  </si>
  <si>
    <t>Electric Buses, Charging Equipment, &amp; Training</t>
  </si>
  <si>
    <t>CMAQ Funds</t>
  </si>
  <si>
    <t>NM DOT 5339 Facility</t>
  </si>
  <si>
    <t>MO1791 Rural 5339</t>
  </si>
  <si>
    <t>NM DOT 5339 Bus Rehab</t>
  </si>
  <si>
    <t>NM DOT 5339 Non-Revenue Vehicle</t>
  </si>
  <si>
    <t>NM DOT 5339 (Replacement Bus)</t>
  </si>
  <si>
    <t>NM DOT 5311 (Bus)</t>
  </si>
  <si>
    <t>NM DOT 5339 (Bus) FY22 Carryover</t>
  </si>
  <si>
    <t>NM DOT 5339 (Bus) Matching Funds</t>
  </si>
  <si>
    <t>Capital Planning</t>
  </si>
  <si>
    <t>Zero Emissions</t>
  </si>
  <si>
    <t>Signs &amp; Poles</t>
  </si>
  <si>
    <t>Buses</t>
  </si>
  <si>
    <t>Service Truck</t>
  </si>
  <si>
    <t>Facility Acquisition</t>
  </si>
  <si>
    <t>TOTAL REVENUES</t>
  </si>
  <si>
    <t>* - FY2022 - FY2023</t>
  </si>
  <si>
    <t>** - FY2023 - FY2024</t>
  </si>
  <si>
    <t>Total Adjustments</t>
  </si>
  <si>
    <t>5311-67%</t>
  </si>
  <si>
    <t>5307-33%</t>
  </si>
  <si>
    <t>FISCAL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</si>
</sst>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%"/>
    <numFmt numFmtId="166" formatCode="[$-409]mmm\-yy;@"/>
    <numFmt numFmtId="167" formatCode="mmmm\ d\,\ yyyy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EA3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1">
    <xf numFmtId="0" fontId="0" fillId="0" borderId="0" xfId="0"/>
    <xf numFmtId="44" fontId="0" fillId="0" borderId="0" xfId="2" applyFont="1"/>
    <xf numFmtId="0" fontId="3" fillId="0" borderId="1" xfId="0" applyFont="1" applyBorder="1"/>
    <xf numFmtId="44" fontId="4" fillId="0" borderId="2" xfId="2" applyFont="1" applyBorder="1" applyAlignment="1">
      <alignment horizontal="center"/>
    </xf>
    <xf numFmtId="9" fontId="3" fillId="0" borderId="3" xfId="1" applyNumberFormat="1" applyFont="1" applyBorder="1" applyAlignment="1">
      <alignment horizontal="center"/>
    </xf>
    <xf numFmtId="17" fontId="5" fillId="0" borderId="4" xfId="0" applyNumberFormat="1" applyFont="1" applyBorder="1" applyAlignment="1">
      <alignment horizontal="left"/>
    </xf>
    <xf numFmtId="44" fontId="3" fillId="0" borderId="5" xfId="2" applyFont="1" applyBorder="1" applyAlignment="1">
      <alignment horizontal="center"/>
    </xf>
    <xf numFmtId="14" fontId="3" fillId="0" borderId="6" xfId="1" applyNumberFormat="1" applyFont="1" applyBorder="1" applyAlignment="1">
      <alignment horizontal="center"/>
    </xf>
    <xf numFmtId="0" fontId="6" fillId="0" borderId="0" xfId="0" applyFont="1"/>
    <xf numFmtId="44" fontId="6" fillId="0" borderId="0" xfId="2" applyFont="1" applyBorder="1"/>
    <xf numFmtId="44" fontId="6" fillId="0" borderId="7" xfId="2" applyFont="1" applyBorder="1"/>
    <xf numFmtId="44" fontId="6" fillId="0" borderId="0" xfId="2" applyFont="1"/>
    <xf numFmtId="0" fontId="8" fillId="0" borderId="0" xfId="0" applyFont="1"/>
    <xf numFmtId="44" fontId="8" fillId="0" borderId="8" xfId="0" applyNumberFormat="1" applyFont="1" applyBorder="1"/>
    <xf numFmtId="164" fontId="0" fillId="0" borderId="0" xfId="0" applyNumberFormat="1"/>
    <xf numFmtId="0" fontId="9" fillId="0" borderId="10" xfId="0" applyFont="1" applyBorder="1"/>
    <xf numFmtId="165" fontId="0" fillId="0" borderId="0" xfId="3" applyNumberFormat="1" applyFont="1"/>
    <xf numFmtId="164" fontId="9" fillId="2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14" fontId="12" fillId="0" borderId="9" xfId="0" applyNumberFormat="1" applyFont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4" fontId="12" fillId="5" borderId="9" xfId="0" applyNumberFormat="1" applyFont="1" applyFill="1" applyBorder="1" applyAlignment="1">
      <alignment horizontal="center" vertical="center" wrapText="1"/>
    </xf>
    <xf numFmtId="14" fontId="12" fillId="6" borderId="9" xfId="0" applyNumberFormat="1" applyFont="1" applyFill="1" applyBorder="1" applyAlignment="1">
      <alignment horizontal="center" vertical="center" wrapText="1"/>
    </xf>
    <xf numFmtId="165" fontId="12" fillId="0" borderId="11" xfId="3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43" fontId="13" fillId="0" borderId="15" xfId="1" quotePrefix="1" applyFont="1" applyFill="1" applyBorder="1" applyAlignment="1">
      <alignment horizontal="center" vertical="center" wrapText="1"/>
    </xf>
    <xf numFmtId="43" fontId="13" fillId="0" borderId="16" xfId="1" quotePrefix="1" applyFont="1" applyFill="1" applyBorder="1" applyAlignment="1">
      <alignment horizontal="center" vertical="center" wrapText="1"/>
    </xf>
    <xf numFmtId="43" fontId="13" fillId="0" borderId="17" xfId="1" quotePrefix="1" applyFont="1" applyFill="1" applyBorder="1" applyAlignment="1">
      <alignment horizontal="center" vertical="center" wrapText="1"/>
    </xf>
    <xf numFmtId="43" fontId="13" fillId="0" borderId="9" xfId="1" quotePrefix="1" applyFont="1" applyFill="1" applyBorder="1" applyAlignment="1">
      <alignment horizontal="center" vertical="center" wrapText="1"/>
    </xf>
    <xf numFmtId="43" fontId="13" fillId="0" borderId="7" xfId="1" quotePrefix="1" applyFont="1" applyFill="1" applyBorder="1" applyAlignment="1">
      <alignment horizontal="center" vertical="center" wrapText="1"/>
    </xf>
    <xf numFmtId="166" fontId="13" fillId="0" borderId="7" xfId="0" quotePrefix="1" applyNumberFormat="1" applyFont="1" applyBorder="1" applyAlignment="1">
      <alignment horizontal="center" vertical="center" wrapText="1"/>
    </xf>
    <xf numFmtId="16" fontId="13" fillId="0" borderId="16" xfId="1" quotePrefix="1" applyNumberFormat="1" applyFont="1" applyFill="1" applyBorder="1" applyAlignment="1">
      <alignment horizontal="center" vertical="center" wrapText="1"/>
    </xf>
    <xf numFmtId="167" fontId="12" fillId="0" borderId="14" xfId="0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12" fillId="3" borderId="18" xfId="0" applyNumberFormat="1" applyFont="1" applyFill="1" applyBorder="1" applyAlignment="1">
      <alignment horizontal="center" vertical="center" wrapText="1"/>
    </xf>
    <xf numFmtId="14" fontId="12" fillId="4" borderId="18" xfId="0" applyNumberFormat="1" applyFont="1" applyFill="1" applyBorder="1" applyAlignment="1">
      <alignment horizontal="center" vertical="center" wrapText="1"/>
    </xf>
    <xf numFmtId="14" fontId="12" fillId="5" borderId="18" xfId="0" applyNumberFormat="1" applyFont="1" applyFill="1" applyBorder="1" applyAlignment="1">
      <alignment horizontal="center" vertical="center" wrapText="1"/>
    </xf>
    <xf numFmtId="14" fontId="12" fillId="6" borderId="18" xfId="0" applyNumberFormat="1" applyFont="1" applyFill="1" applyBorder="1" applyAlignment="1">
      <alignment horizontal="center" vertical="center" wrapText="1"/>
    </xf>
    <xf numFmtId="165" fontId="14" fillId="0" borderId="0" xfId="3" applyNumberFormat="1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1" fillId="0" borderId="9" xfId="0" applyFont="1" applyBorder="1"/>
    <xf numFmtId="43" fontId="12" fillId="0" borderId="9" xfId="1" applyFont="1" applyFill="1" applyBorder="1"/>
    <xf numFmtId="43" fontId="1" fillId="0" borderId="9" xfId="1" applyFill="1" applyBorder="1"/>
    <xf numFmtId="43" fontId="0" fillId="0" borderId="21" xfId="1" applyFont="1" applyFill="1" applyBorder="1"/>
    <xf numFmtId="40" fontId="1" fillId="0" borderId="26" xfId="1" applyNumberFormat="1" applyFill="1" applyBorder="1"/>
    <xf numFmtId="40" fontId="1" fillId="0" borderId="28" xfId="1" applyNumberFormat="1" applyFill="1" applyBorder="1"/>
    <xf numFmtId="40" fontId="1" fillId="0" borderId="30" xfId="1" applyNumberFormat="1" applyFill="1" applyBorder="1"/>
    <xf numFmtId="40" fontId="0" fillId="3" borderId="26" xfId="1" applyNumberFormat="1" applyFont="1" applyFill="1" applyBorder="1"/>
    <xf numFmtId="40" fontId="0" fillId="4" borderId="26" xfId="1" applyNumberFormat="1" applyFont="1" applyFill="1" applyBorder="1"/>
    <xf numFmtId="40" fontId="0" fillId="5" borderId="26" xfId="1" applyNumberFormat="1" applyFont="1" applyFill="1" applyBorder="1"/>
    <xf numFmtId="40" fontId="0" fillId="6" borderId="26" xfId="1" applyNumberFormat="1" applyFont="1" applyFill="1" applyBorder="1"/>
    <xf numFmtId="40" fontId="0" fillId="0" borderId="26" xfId="1" applyNumberFormat="1" applyFont="1" applyFill="1" applyBorder="1"/>
    <xf numFmtId="40" fontId="15" fillId="0" borderId="26" xfId="1" applyNumberFormat="1" applyFont="1" applyFill="1" applyBorder="1"/>
    <xf numFmtId="165" fontId="15" fillId="0" borderId="12" xfId="3" applyNumberFormat="1" applyFont="1" applyFill="1" applyBorder="1"/>
    <xf numFmtId="40" fontId="14" fillId="0" borderId="0" xfId="3" applyNumberFormat="1" applyFont="1"/>
    <xf numFmtId="40" fontId="0" fillId="0" borderId="28" xfId="1" applyNumberFormat="1" applyFont="1" applyBorder="1"/>
    <xf numFmtId="40" fontId="0" fillId="0" borderId="29" xfId="1" applyNumberFormat="1" applyFont="1" applyBorder="1"/>
    <xf numFmtId="40" fontId="0" fillId="0" borderId="30" xfId="1" applyNumberFormat="1" applyFont="1" applyBorder="1"/>
    <xf numFmtId="40" fontId="0" fillId="0" borderId="26" xfId="1" applyNumberFormat="1" applyFont="1" applyBorder="1"/>
    <xf numFmtId="40" fontId="0" fillId="0" borderId="12" xfId="0" applyNumberFormat="1" applyBorder="1"/>
    <xf numFmtId="40" fontId="0" fillId="0" borderId="28" xfId="0" applyNumberFormat="1" applyBorder="1"/>
    <xf numFmtId="40" fontId="0" fillId="0" borderId="29" xfId="0" applyNumberFormat="1" applyBorder="1"/>
    <xf numFmtId="40" fontId="0" fillId="0" borderId="31" xfId="1" applyNumberFormat="1" applyFont="1" applyBorder="1"/>
    <xf numFmtId="40" fontId="0" fillId="0" borderId="26" xfId="0" applyNumberFormat="1" applyBorder="1"/>
    <xf numFmtId="43" fontId="16" fillId="0" borderId="9" xfId="0" applyNumberFormat="1" applyFont="1" applyBorder="1"/>
    <xf numFmtId="43" fontId="17" fillId="0" borderId="21" xfId="1" applyFont="1" applyFill="1" applyBorder="1"/>
    <xf numFmtId="43" fontId="11" fillId="0" borderId="9" xfId="1" applyFont="1" applyFill="1" applyBorder="1"/>
    <xf numFmtId="43" fontId="11" fillId="0" borderId="9" xfId="0" applyNumberFormat="1" applyFont="1" applyBorder="1"/>
    <xf numFmtId="40" fontId="0" fillId="0" borderId="28" xfId="1" applyNumberFormat="1" applyFont="1" applyFill="1" applyBorder="1"/>
    <xf numFmtId="40" fontId="0" fillId="0" borderId="30" xfId="1" applyNumberFormat="1" applyFont="1" applyFill="1" applyBorder="1"/>
    <xf numFmtId="43" fontId="16" fillId="0" borderId="9" xfId="1" applyFont="1" applyFill="1" applyBorder="1"/>
    <xf numFmtId="0" fontId="11" fillId="0" borderId="9" xfId="0" applyFont="1" applyBorder="1" applyAlignment="1">
      <alignment horizontal="left"/>
    </xf>
    <xf numFmtId="43" fontId="1" fillId="0" borderId="21" xfId="1" applyFill="1" applyBorder="1"/>
    <xf numFmtId="0" fontId="0" fillId="6" borderId="0" xfId="0" applyFill="1"/>
    <xf numFmtId="0" fontId="11" fillId="6" borderId="9" xfId="0" applyFont="1" applyFill="1" applyBorder="1"/>
    <xf numFmtId="43" fontId="11" fillId="6" borderId="9" xfId="1" applyFont="1" applyFill="1" applyBorder="1"/>
    <xf numFmtId="43" fontId="1" fillId="6" borderId="9" xfId="1" applyFill="1" applyBorder="1"/>
    <xf numFmtId="43" fontId="0" fillId="6" borderId="21" xfId="1" applyFont="1" applyFill="1" applyBorder="1"/>
    <xf numFmtId="40" fontId="0" fillId="6" borderId="26" xfId="0" applyNumberFormat="1" applyFill="1" applyBorder="1"/>
    <xf numFmtId="40" fontId="0" fillId="6" borderId="28" xfId="1" applyNumberFormat="1" applyFont="1" applyFill="1" applyBorder="1"/>
    <xf numFmtId="40" fontId="0" fillId="6" borderId="30" xfId="1" applyNumberFormat="1" applyFont="1" applyFill="1" applyBorder="1"/>
    <xf numFmtId="40" fontId="15" fillId="6" borderId="26" xfId="1" applyNumberFormat="1" applyFont="1" applyFill="1" applyBorder="1"/>
    <xf numFmtId="165" fontId="15" fillId="6" borderId="12" xfId="3" applyNumberFormat="1" applyFont="1" applyFill="1" applyBorder="1"/>
    <xf numFmtId="40" fontId="14" fillId="6" borderId="0" xfId="3" applyNumberFormat="1" applyFont="1" applyFill="1"/>
    <xf numFmtId="40" fontId="0" fillId="6" borderId="29" xfId="1" applyNumberFormat="1" applyFont="1" applyFill="1" applyBorder="1"/>
    <xf numFmtId="40" fontId="0" fillId="6" borderId="12" xfId="0" applyNumberFormat="1" applyFill="1" applyBorder="1"/>
    <xf numFmtId="40" fontId="0" fillId="6" borderId="28" xfId="0" applyNumberFormat="1" applyFill="1" applyBorder="1"/>
    <xf numFmtId="40" fontId="0" fillId="6" borderId="29" xfId="0" applyNumberFormat="1" applyFill="1" applyBorder="1"/>
    <xf numFmtId="40" fontId="0" fillId="6" borderId="31" xfId="1" applyNumberFormat="1" applyFont="1" applyFill="1" applyBorder="1"/>
    <xf numFmtId="43" fontId="17" fillId="0" borderId="9" xfId="1" applyFont="1" applyFill="1" applyBorder="1"/>
    <xf numFmtId="40" fontId="0" fillId="0" borderId="29" xfId="1" applyNumberFormat="1" applyFont="1" applyFill="1" applyBorder="1"/>
    <xf numFmtId="43" fontId="1" fillId="8" borderId="9" xfId="1" applyFill="1" applyBorder="1"/>
    <xf numFmtId="40" fontId="0" fillId="0" borderId="32" xfId="0" applyNumberFormat="1" applyBorder="1"/>
    <xf numFmtId="40" fontId="0" fillId="0" borderId="33" xfId="1" applyNumberFormat="1" applyFont="1" applyBorder="1"/>
    <xf numFmtId="40" fontId="0" fillId="0" borderId="34" xfId="1" applyNumberFormat="1" applyFont="1" applyBorder="1"/>
    <xf numFmtId="40" fontId="15" fillId="0" borderId="32" xfId="1" applyNumberFormat="1" applyFont="1" applyFill="1" applyBorder="1"/>
    <xf numFmtId="165" fontId="15" fillId="0" borderId="35" xfId="3" applyNumberFormat="1" applyFont="1" applyFill="1" applyBorder="1"/>
    <xf numFmtId="40" fontId="0" fillId="0" borderId="32" xfId="1" applyNumberFormat="1" applyFont="1" applyBorder="1"/>
    <xf numFmtId="0" fontId="12" fillId="0" borderId="9" xfId="0" applyFont="1" applyBorder="1" applyAlignment="1">
      <alignment horizontal="center"/>
    </xf>
    <xf numFmtId="44" fontId="12" fillId="0" borderId="9" xfId="2" applyFont="1" applyBorder="1"/>
    <xf numFmtId="43" fontId="18" fillId="0" borderId="9" xfId="1" applyFont="1" applyBorder="1"/>
    <xf numFmtId="40" fontId="18" fillId="0" borderId="36" xfId="1" applyNumberFormat="1" applyFont="1" applyBorder="1"/>
    <xf numFmtId="40" fontId="20" fillId="0" borderId="36" xfId="1" applyNumberFormat="1" applyFont="1" applyBorder="1"/>
    <xf numFmtId="165" fontId="4" fillId="0" borderId="0" xfId="3" applyNumberFormat="1" applyFont="1"/>
    <xf numFmtId="43" fontId="0" fillId="0" borderId="0" xfId="1" applyFont="1"/>
    <xf numFmtId="17" fontId="5" fillId="4" borderId="40" xfId="0" applyNumberFormat="1" applyFont="1" applyFill="1" applyBorder="1"/>
    <xf numFmtId="17" fontId="5" fillId="4" borderId="0" xfId="0" applyNumberFormat="1" applyFont="1" applyFill="1"/>
    <xf numFmtId="165" fontId="5" fillId="4" borderId="0" xfId="3" applyNumberFormat="1" applyFont="1" applyFill="1"/>
    <xf numFmtId="0" fontId="17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6" fontId="10" fillId="10" borderId="41" xfId="2" applyNumberFormat="1" applyFont="1" applyFill="1" applyBorder="1" applyAlignment="1">
      <alignment horizontal="center" wrapText="1"/>
    </xf>
    <xf numFmtId="166" fontId="10" fillId="10" borderId="40" xfId="2" applyNumberFormat="1" applyFont="1" applyFill="1" applyBorder="1" applyAlignment="1">
      <alignment horizontal="center" wrapText="1"/>
    </xf>
    <xf numFmtId="166" fontId="10" fillId="10" borderId="9" xfId="2" applyNumberFormat="1" applyFont="1" applyFill="1" applyBorder="1" applyAlignment="1">
      <alignment horizontal="center" wrapText="1"/>
    </xf>
    <xf numFmtId="166" fontId="10" fillId="10" borderId="13" xfId="2" applyNumberFormat="1" applyFont="1" applyFill="1" applyBorder="1" applyAlignment="1">
      <alignment horizontal="center" wrapText="1"/>
    </xf>
    <xf numFmtId="166" fontId="10" fillId="10" borderId="11" xfId="2" applyNumberFormat="1" applyFont="1" applyFill="1" applyBorder="1" applyAlignment="1">
      <alignment horizontal="center" wrapText="1"/>
    </xf>
    <xf numFmtId="44" fontId="3" fillId="0" borderId="41" xfId="2" applyFont="1" applyFill="1" applyBorder="1" applyAlignment="1">
      <alignment horizontal="center" wrapText="1"/>
    </xf>
    <xf numFmtId="44" fontId="12" fillId="0" borderId="41" xfId="2" applyFont="1" applyFill="1" applyBorder="1" applyAlignment="1">
      <alignment horizontal="center" wrapText="1"/>
    </xf>
    <xf numFmtId="165" fontId="21" fillId="0" borderId="2" xfId="3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11" borderId="40" xfId="0" applyFont="1" applyFill="1" applyBorder="1"/>
    <xf numFmtId="0" fontId="22" fillId="11" borderId="2" xfId="0" applyFont="1" applyFill="1" applyBorder="1"/>
    <xf numFmtId="0" fontId="22" fillId="11" borderId="41" xfId="0" applyFont="1" applyFill="1" applyBorder="1"/>
    <xf numFmtId="0" fontId="22" fillId="11" borderId="10" xfId="0" applyFont="1" applyFill="1" applyBorder="1"/>
    <xf numFmtId="0" fontId="22" fillId="11" borderId="13" xfId="0" applyFont="1" applyFill="1" applyBorder="1"/>
    <xf numFmtId="0" fontId="22" fillId="11" borderId="11" xfId="0" applyFont="1" applyFill="1" applyBorder="1"/>
    <xf numFmtId="0" fontId="22" fillId="11" borderId="9" xfId="0" applyFont="1" applyFill="1" applyBorder="1"/>
    <xf numFmtId="165" fontId="22" fillId="11" borderId="10" xfId="3" applyNumberFormat="1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44" fontId="4" fillId="0" borderId="44" xfId="2" applyFont="1" applyBorder="1"/>
    <xf numFmtId="44" fontId="4" fillId="3" borderId="20" xfId="2" applyFont="1" applyFill="1" applyBorder="1"/>
    <xf numFmtId="44" fontId="4" fillId="4" borderId="20" xfId="2" applyFont="1" applyFill="1" applyBorder="1"/>
    <xf numFmtId="44" fontId="4" fillId="5" borderId="20" xfId="2" applyFont="1" applyFill="1" applyBorder="1"/>
    <xf numFmtId="44" fontId="4" fillId="6" borderId="20" xfId="2" applyFont="1" applyFill="1" applyBorder="1"/>
    <xf numFmtId="44" fontId="4" fillId="9" borderId="20" xfId="2" applyFont="1" applyFill="1" applyBorder="1"/>
    <xf numFmtId="44" fontId="4" fillId="8" borderId="1" xfId="2" applyFont="1" applyFill="1" applyBorder="1"/>
    <xf numFmtId="44" fontId="4" fillId="0" borderId="0" xfId="2" applyFont="1" applyBorder="1"/>
    <xf numFmtId="44" fontId="4" fillId="10" borderId="24" xfId="2" applyFont="1" applyFill="1" applyBorder="1" applyAlignment="1"/>
    <xf numFmtId="44" fontId="4" fillId="10" borderId="46" xfId="2" applyFont="1" applyFill="1" applyBorder="1" applyAlignment="1"/>
    <xf numFmtId="44" fontId="4" fillId="10" borderId="25" xfId="2" applyFont="1" applyFill="1" applyBorder="1" applyAlignment="1"/>
    <xf numFmtId="44" fontId="4" fillId="10" borderId="42" xfId="2" applyFont="1" applyFill="1" applyBorder="1" applyAlignment="1"/>
    <xf numFmtId="44" fontId="4" fillId="10" borderId="43" xfId="2" applyFont="1" applyFill="1" applyBorder="1" applyAlignment="1"/>
    <xf numFmtId="44" fontId="4" fillId="10" borderId="44" xfId="2" applyFont="1" applyFill="1" applyBorder="1" applyAlignment="1"/>
    <xf numFmtId="44" fontId="4" fillId="10" borderId="45" xfId="2" applyFont="1" applyFill="1" applyBorder="1" applyAlignment="1"/>
    <xf numFmtId="44" fontId="4" fillId="10" borderId="47" xfId="2" applyFont="1" applyFill="1" applyBorder="1" applyAlignment="1"/>
    <xf numFmtId="44" fontId="4" fillId="12" borderId="18" xfId="2" applyFont="1" applyFill="1" applyBorder="1" applyAlignment="1"/>
    <xf numFmtId="44" fontId="4" fillId="0" borderId="18" xfId="2" applyFont="1" applyFill="1" applyBorder="1" applyAlignment="1"/>
    <xf numFmtId="165" fontId="4" fillId="0" borderId="7" xfId="3" applyNumberFormat="1" applyFont="1" applyFill="1" applyBorder="1" applyAlignment="1"/>
    <xf numFmtId="44" fontId="3" fillId="0" borderId="18" xfId="2" applyFont="1" applyFill="1" applyBorder="1" applyAlignment="1"/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44" fontId="4" fillId="0" borderId="30" xfId="2" applyFont="1" applyBorder="1"/>
    <xf numFmtId="44" fontId="4" fillId="3" borderId="26" xfId="2" applyFont="1" applyFill="1" applyBorder="1"/>
    <xf numFmtId="44" fontId="4" fillId="4" borderId="26" xfId="2" applyFont="1" applyFill="1" applyBorder="1"/>
    <xf numFmtId="44" fontId="4" fillId="5" borderId="26" xfId="2" applyFont="1" applyFill="1" applyBorder="1"/>
    <xf numFmtId="44" fontId="4" fillId="6" borderId="26" xfId="2" applyFont="1" applyFill="1" applyBorder="1"/>
    <xf numFmtId="44" fontId="4" fillId="9" borderId="26" xfId="2" applyFont="1" applyFill="1" applyBorder="1"/>
    <xf numFmtId="44" fontId="4" fillId="8" borderId="48" xfId="2" applyFont="1" applyFill="1" applyBorder="1"/>
    <xf numFmtId="44" fontId="4" fillId="10" borderId="28" xfId="2" applyFont="1" applyFill="1" applyBorder="1" applyAlignment="1"/>
    <xf numFmtId="44" fontId="4" fillId="10" borderId="29" xfId="2" applyFont="1" applyFill="1" applyBorder="1" applyAlignment="1"/>
    <xf numFmtId="44" fontId="4" fillId="10" borderId="30" xfId="2" applyFont="1" applyFill="1" applyBorder="1" applyAlignment="1"/>
    <xf numFmtId="44" fontId="4" fillId="10" borderId="31" xfId="2" applyFont="1" applyFill="1" applyBorder="1" applyAlignment="1"/>
    <xf numFmtId="44" fontId="4" fillId="10" borderId="49" xfId="2" applyFont="1" applyFill="1" applyBorder="1" applyAlignment="1"/>
    <xf numFmtId="44" fontId="4" fillId="12" borderId="26" xfId="2" applyFont="1" applyFill="1" applyBorder="1" applyAlignment="1"/>
    <xf numFmtId="44" fontId="4" fillId="0" borderId="26" xfId="2" applyFont="1" applyFill="1" applyBorder="1" applyAlignment="1"/>
    <xf numFmtId="44" fontId="3" fillId="0" borderId="26" xfId="2" applyFont="1" applyFill="1" applyBorder="1" applyAlignment="1"/>
    <xf numFmtId="0" fontId="4" fillId="0" borderId="28" xfId="0" applyFont="1" applyBorder="1" applyAlignment="1">
      <alignment horizontal="right" wrapText="1"/>
    </xf>
    <xf numFmtId="0" fontId="4" fillId="0" borderId="29" xfId="0" applyFont="1" applyBorder="1" applyAlignment="1">
      <alignment horizontal="right" wrapText="1"/>
    </xf>
    <xf numFmtId="0" fontId="4" fillId="0" borderId="33" xfId="0" applyFont="1" applyBorder="1" applyAlignment="1">
      <alignment horizontal="right" wrapText="1"/>
    </xf>
    <xf numFmtId="0" fontId="4" fillId="0" borderId="50" xfId="0" applyFont="1" applyBorder="1" applyAlignment="1">
      <alignment horizontal="right" wrapText="1"/>
    </xf>
    <xf numFmtId="44" fontId="4" fillId="0" borderId="34" xfId="2" applyFont="1" applyFill="1" applyBorder="1"/>
    <xf numFmtId="44" fontId="4" fillId="3" borderId="32" xfId="2" applyFont="1" applyFill="1" applyBorder="1"/>
    <xf numFmtId="44" fontId="4" fillId="4" borderId="32" xfId="2" applyFont="1" applyFill="1" applyBorder="1"/>
    <xf numFmtId="44" fontId="4" fillId="5" borderId="32" xfId="2" applyFont="1" applyFill="1" applyBorder="1"/>
    <xf numFmtId="44" fontId="4" fillId="6" borderId="32" xfId="2" applyFont="1" applyFill="1" applyBorder="1"/>
    <xf numFmtId="44" fontId="4" fillId="9" borderId="32" xfId="2" applyFont="1" applyFill="1" applyBorder="1"/>
    <xf numFmtId="44" fontId="4" fillId="8" borderId="4" xfId="2" applyFont="1" applyFill="1" applyBorder="1"/>
    <xf numFmtId="44" fontId="4" fillId="0" borderId="0" xfId="2" applyFont="1" applyFill="1" applyBorder="1"/>
    <xf numFmtId="44" fontId="4" fillId="10" borderId="52" xfId="2" applyFont="1" applyFill="1" applyBorder="1" applyAlignment="1"/>
    <xf numFmtId="44" fontId="4" fillId="10" borderId="53" xfId="2" applyFont="1" applyFill="1" applyBorder="1" applyAlignment="1"/>
    <xf numFmtId="44" fontId="4" fillId="10" borderId="54" xfId="2" applyFont="1" applyFill="1" applyBorder="1" applyAlignment="1"/>
    <xf numFmtId="44" fontId="4" fillId="10" borderId="33" xfId="2" applyFont="1" applyFill="1" applyBorder="1" applyAlignment="1"/>
    <xf numFmtId="44" fontId="4" fillId="10" borderId="50" xfId="2" applyFont="1" applyFill="1" applyBorder="1" applyAlignment="1"/>
    <xf numFmtId="44" fontId="4" fillId="10" borderId="34" xfId="2" applyFont="1" applyFill="1" applyBorder="1" applyAlignment="1"/>
    <xf numFmtId="44" fontId="4" fillId="10" borderId="55" xfId="2" applyFont="1" applyFill="1" applyBorder="1" applyAlignment="1"/>
    <xf numFmtId="44" fontId="4" fillId="10" borderId="56" xfId="2" applyFont="1" applyFill="1" applyBorder="1" applyAlignment="1"/>
    <xf numFmtId="0" fontId="12" fillId="0" borderId="21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44" fontId="3" fillId="0" borderId="9" xfId="2" applyFont="1" applyFill="1" applyBorder="1"/>
    <xf numFmtId="44" fontId="3" fillId="3" borderId="9" xfId="2" applyFont="1" applyFill="1" applyBorder="1"/>
    <xf numFmtId="44" fontId="3" fillId="4" borderId="9" xfId="2" applyFont="1" applyFill="1" applyBorder="1"/>
    <xf numFmtId="44" fontId="3" fillId="5" borderId="9" xfId="2" applyFont="1" applyFill="1" applyBorder="1"/>
    <xf numFmtId="44" fontId="3" fillId="6" borderId="9" xfId="2" applyFont="1" applyFill="1" applyBorder="1"/>
    <xf numFmtId="44" fontId="3" fillId="9" borderId="9" xfId="2" applyFont="1" applyFill="1" applyBorder="1"/>
    <xf numFmtId="44" fontId="3" fillId="8" borderId="13" xfId="2" applyFont="1" applyFill="1" applyBorder="1"/>
    <xf numFmtId="44" fontId="3" fillId="0" borderId="0" xfId="2" applyFont="1" applyFill="1" applyBorder="1"/>
    <xf numFmtId="44" fontId="3" fillId="0" borderId="13" xfId="2" applyFont="1" applyFill="1" applyBorder="1"/>
    <xf numFmtId="44" fontId="3" fillId="0" borderId="11" xfId="2" applyFont="1" applyFill="1" applyBorder="1"/>
    <xf numFmtId="0" fontId="20" fillId="0" borderId="0" xfId="0" applyFont="1"/>
    <xf numFmtId="165" fontId="3" fillId="0" borderId="10" xfId="3" applyNumberFormat="1" applyFont="1" applyFill="1" applyBorder="1"/>
    <xf numFmtId="0" fontId="3" fillId="13" borderId="9" xfId="0" applyFont="1" applyFill="1" applyBorder="1" applyAlignment="1">
      <alignment horizontal="center"/>
    </xf>
    <xf numFmtId="0" fontId="3" fillId="13" borderId="13" xfId="0" applyFont="1" applyFill="1" applyBorder="1"/>
    <xf numFmtId="0" fontId="3" fillId="13" borderId="10" xfId="0" applyFont="1" applyFill="1" applyBorder="1"/>
    <xf numFmtId="0" fontId="3" fillId="13" borderId="11" xfId="0" applyFont="1" applyFill="1" applyBorder="1"/>
    <xf numFmtId="0" fontId="3" fillId="13" borderId="9" xfId="0" applyFont="1" applyFill="1" applyBorder="1"/>
    <xf numFmtId="0" fontId="4" fillId="6" borderId="42" xfId="0" applyFont="1" applyFill="1" applyBorder="1"/>
    <xf numFmtId="0" fontId="4" fillId="6" borderId="25" xfId="0" applyFont="1" applyFill="1" applyBorder="1"/>
    <xf numFmtId="44" fontId="4" fillId="3" borderId="18" xfId="2" applyFont="1" applyFill="1" applyBorder="1"/>
    <xf numFmtId="44" fontId="4" fillId="4" borderId="18" xfId="2" applyFont="1" applyFill="1" applyBorder="1"/>
    <xf numFmtId="44" fontId="4" fillId="5" borderId="18" xfId="2" applyFont="1" applyFill="1" applyBorder="1"/>
    <xf numFmtId="44" fontId="4" fillId="6" borderId="18" xfId="2" applyFont="1" applyFill="1" applyBorder="1"/>
    <xf numFmtId="44" fontId="4" fillId="9" borderId="18" xfId="2" applyFont="1" applyFill="1" applyBorder="1"/>
    <xf numFmtId="44" fontId="4" fillId="8" borderId="57" xfId="2" applyFont="1" applyFill="1" applyBorder="1"/>
    <xf numFmtId="44" fontId="4" fillId="6" borderId="24" xfId="2" applyFont="1" applyFill="1" applyBorder="1" applyAlignment="1"/>
    <xf numFmtId="44" fontId="4" fillId="6" borderId="46" xfId="2" applyFont="1" applyFill="1" applyBorder="1" applyAlignment="1"/>
    <xf numFmtId="44" fontId="4" fillId="6" borderId="25" xfId="2" applyFont="1" applyFill="1" applyBorder="1" applyAlignment="1"/>
    <xf numFmtId="44" fontId="4" fillId="6" borderId="58" xfId="2" applyFont="1" applyFill="1" applyBorder="1" applyAlignment="1"/>
    <xf numFmtId="44" fontId="4" fillId="6" borderId="59" xfId="2" applyFont="1" applyFill="1" applyBorder="1" applyAlignment="1"/>
    <xf numFmtId="44" fontId="4" fillId="14" borderId="18" xfId="2" applyFont="1" applyFill="1" applyBorder="1" applyAlignment="1"/>
    <xf numFmtId="44" fontId="4" fillId="6" borderId="18" xfId="2" applyFont="1" applyFill="1" applyBorder="1" applyAlignment="1"/>
    <xf numFmtId="165" fontId="4" fillId="6" borderId="7" xfId="3" applyNumberFormat="1" applyFont="1" applyFill="1" applyBorder="1" applyAlignment="1"/>
    <xf numFmtId="44" fontId="3" fillId="6" borderId="18" xfId="2" applyFont="1" applyFill="1" applyBorder="1" applyAlignment="1"/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4" fontId="4" fillId="0" borderId="26" xfId="2" applyFont="1" applyBorder="1"/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44" fontId="4" fillId="0" borderId="32" xfId="2" applyFont="1" applyBorder="1"/>
    <xf numFmtId="44" fontId="4" fillId="3" borderId="60" xfId="2" applyFont="1" applyFill="1" applyBorder="1"/>
    <xf numFmtId="44" fontId="4" fillId="4" borderId="60" xfId="2" applyFont="1" applyFill="1" applyBorder="1"/>
    <xf numFmtId="44" fontId="4" fillId="5" borderId="60" xfId="2" applyFont="1" applyFill="1" applyBorder="1"/>
    <xf numFmtId="44" fontId="4" fillId="6" borderId="60" xfId="2" applyFont="1" applyFill="1" applyBorder="1"/>
    <xf numFmtId="44" fontId="4" fillId="9" borderId="60" xfId="2" applyFont="1" applyFill="1" applyBorder="1"/>
    <xf numFmtId="44" fontId="4" fillId="8" borderId="61" xfId="2" applyFont="1" applyFill="1" applyBorder="1"/>
    <xf numFmtId="44" fontId="4" fillId="12" borderId="60" xfId="2" applyFont="1" applyFill="1" applyBorder="1" applyAlignment="1"/>
    <xf numFmtId="44" fontId="4" fillId="0" borderId="60" xfId="2" applyFont="1" applyFill="1" applyBorder="1" applyAlignment="1"/>
    <xf numFmtId="165" fontId="4" fillId="0" borderId="0" xfId="3" applyNumberFormat="1" applyFont="1" applyFill="1" applyBorder="1" applyAlignment="1"/>
    <xf numFmtId="44" fontId="3" fillId="0" borderId="60" xfId="2" applyFont="1" applyFill="1" applyBorder="1" applyAlignment="1"/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3" fillId="13" borderId="21" xfId="0" applyFont="1" applyFill="1" applyBorder="1" applyAlignment="1">
      <alignment horizontal="center"/>
    </xf>
    <xf numFmtId="0" fontId="3" fillId="13" borderId="62" xfId="0" applyFont="1" applyFill="1" applyBorder="1"/>
    <xf numFmtId="0" fontId="4" fillId="0" borderId="63" xfId="0" applyFont="1" applyBorder="1" applyAlignment="1">
      <alignment horizontal="left" wrapText="1"/>
    </xf>
    <xf numFmtId="0" fontId="4" fillId="0" borderId="64" xfId="0" applyFont="1" applyBorder="1" applyAlignment="1">
      <alignment horizontal="left"/>
    </xf>
    <xf numFmtId="44" fontId="4" fillId="0" borderId="41" xfId="2" applyFont="1" applyBorder="1"/>
    <xf numFmtId="44" fontId="4" fillId="3" borderId="41" xfId="2" applyFont="1" applyFill="1" applyBorder="1"/>
    <xf numFmtId="44" fontId="4" fillId="4" borderId="41" xfId="2" applyFont="1" applyFill="1" applyBorder="1"/>
    <xf numFmtId="44" fontId="4" fillId="5" borderId="41" xfId="2" applyFont="1" applyFill="1" applyBorder="1"/>
    <xf numFmtId="44" fontId="4" fillId="6" borderId="41" xfId="2" applyFont="1" applyFill="1" applyBorder="1"/>
    <xf numFmtId="44" fontId="4" fillId="9" borderId="41" xfId="2" applyFont="1" applyFill="1" applyBorder="1"/>
    <xf numFmtId="44" fontId="4" fillId="8" borderId="40" xfId="2" applyFont="1" applyFill="1" applyBorder="1"/>
    <xf numFmtId="44" fontId="4" fillId="10" borderId="65" xfId="2" applyFont="1" applyFill="1" applyBorder="1" applyAlignment="1"/>
    <xf numFmtId="44" fontId="4" fillId="10" borderId="66" xfId="2" applyFont="1" applyFill="1" applyBorder="1" applyAlignment="1"/>
    <xf numFmtId="44" fontId="4" fillId="10" borderId="67" xfId="2" applyFont="1" applyFill="1" applyBorder="1" applyAlignment="1"/>
    <xf numFmtId="44" fontId="4" fillId="10" borderId="68" xfId="2" applyFont="1" applyFill="1" applyBorder="1" applyAlignment="1"/>
    <xf numFmtId="44" fontId="4" fillId="10" borderId="69" xfId="2" applyFont="1" applyFill="1" applyBorder="1" applyAlignment="1"/>
    <xf numFmtId="44" fontId="4" fillId="12" borderId="9" xfId="2" applyFont="1" applyFill="1" applyBorder="1" applyAlignment="1"/>
    <xf numFmtId="44" fontId="4" fillId="0" borderId="9" xfId="2" applyFont="1" applyFill="1" applyBorder="1" applyAlignment="1"/>
    <xf numFmtId="165" fontId="4" fillId="0" borderId="10" xfId="3" applyNumberFormat="1" applyFont="1" applyFill="1" applyBorder="1" applyAlignment="1"/>
    <xf numFmtId="44" fontId="3" fillId="0" borderId="9" xfId="2" applyFont="1" applyFill="1" applyBorder="1" applyAlignment="1"/>
    <xf numFmtId="0" fontId="3" fillId="15" borderId="9" xfId="0" applyFont="1" applyFill="1" applyBorder="1" applyAlignment="1">
      <alignment horizontal="center" wrapText="1"/>
    </xf>
    <xf numFmtId="0" fontId="4" fillId="15" borderId="70" xfId="0" applyFont="1" applyFill="1" applyBorder="1" applyAlignment="1">
      <alignment horizontal="left"/>
    </xf>
    <xf numFmtId="44" fontId="4" fillId="15" borderId="16" xfId="2" applyFont="1" applyFill="1" applyBorder="1"/>
    <xf numFmtId="44" fontId="4" fillId="15" borderId="17" xfId="2" applyFont="1" applyFill="1" applyBorder="1"/>
    <xf numFmtId="44" fontId="4" fillId="15" borderId="15" xfId="2" applyFont="1" applyFill="1" applyBorder="1"/>
    <xf numFmtId="44" fontId="4" fillId="15" borderId="10" xfId="2" applyFont="1" applyFill="1" applyBorder="1"/>
    <xf numFmtId="44" fontId="4" fillId="15" borderId="15" xfId="2" applyFont="1" applyFill="1" applyBorder="1" applyAlignment="1"/>
    <xf numFmtId="44" fontId="4" fillId="15" borderId="16" xfId="2" applyFont="1" applyFill="1" applyBorder="1" applyAlignment="1"/>
    <xf numFmtId="44" fontId="4" fillId="15" borderId="17" xfId="2" applyFont="1" applyFill="1" applyBorder="1" applyAlignment="1"/>
    <xf numFmtId="44" fontId="4" fillId="15" borderId="71" xfId="2" applyFont="1" applyFill="1" applyBorder="1" applyAlignment="1"/>
    <xf numFmtId="44" fontId="4" fillId="15" borderId="70" xfId="2" applyFont="1" applyFill="1" applyBorder="1" applyAlignment="1"/>
    <xf numFmtId="0" fontId="0" fillId="15" borderId="10" xfId="0" applyFill="1" applyBorder="1"/>
    <xf numFmtId="44" fontId="4" fillId="16" borderId="9" xfId="2" applyFont="1" applyFill="1" applyBorder="1" applyAlignment="1"/>
    <xf numFmtId="44" fontId="4" fillId="15" borderId="9" xfId="2" applyFont="1" applyFill="1" applyBorder="1" applyAlignment="1"/>
    <xf numFmtId="165" fontId="4" fillId="15" borderId="10" xfId="3" applyNumberFormat="1" applyFont="1" applyFill="1" applyBorder="1" applyAlignment="1"/>
    <xf numFmtId="44" fontId="3" fillId="15" borderId="9" xfId="2" applyFont="1" applyFill="1" applyBorder="1" applyAlignment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4" fontId="4" fillId="0" borderId="18" xfId="2" applyFont="1" applyBorder="1"/>
    <xf numFmtId="44" fontId="4" fillId="10" borderId="58" xfId="2" applyFont="1" applyFill="1" applyBorder="1" applyAlignment="1"/>
    <xf numFmtId="44" fontId="4" fillId="10" borderId="59" xfId="2" applyFont="1" applyFill="1" applyBorder="1" applyAlignment="1"/>
    <xf numFmtId="44" fontId="4" fillId="12" borderId="32" xfId="2" applyFont="1" applyFill="1" applyBorder="1" applyAlignment="1"/>
    <xf numFmtId="44" fontId="4" fillId="0" borderId="32" xfId="2" applyFont="1" applyFill="1" applyBorder="1" applyAlignment="1"/>
    <xf numFmtId="165" fontId="4" fillId="0" borderId="72" xfId="3" applyNumberFormat="1" applyFont="1" applyFill="1" applyBorder="1" applyAlignment="1"/>
    <xf numFmtId="44" fontId="3" fillId="0" borderId="32" xfId="2" applyFont="1" applyFill="1" applyBorder="1" applyAlignment="1"/>
    <xf numFmtId="0" fontId="17" fillId="0" borderId="40" xfId="0" applyFont="1" applyBorder="1" applyAlignment="1">
      <alignment horizontal="center"/>
    </xf>
    <xf numFmtId="0" fontId="4" fillId="0" borderId="42" xfId="0" applyFont="1" applyBorder="1"/>
    <xf numFmtId="0" fontId="4" fillId="0" borderId="44" xfId="0" applyFont="1" applyBorder="1"/>
    <xf numFmtId="44" fontId="4" fillId="0" borderId="20" xfId="2" applyFont="1" applyBorder="1"/>
    <xf numFmtId="0" fontId="17" fillId="0" borderId="21" xfId="0" applyFont="1" applyBorder="1" applyAlignment="1">
      <alignment horizontal="center"/>
    </xf>
    <xf numFmtId="0" fontId="4" fillId="0" borderId="28" xfId="0" applyFont="1" applyBorder="1"/>
    <xf numFmtId="0" fontId="4" fillId="0" borderId="30" xfId="0" applyFont="1" applyBorder="1"/>
    <xf numFmtId="0" fontId="17" fillId="0" borderId="62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44" fontId="3" fillId="8" borderId="9" xfId="2" applyFont="1" applyFill="1" applyBorder="1"/>
    <xf numFmtId="165" fontId="3" fillId="0" borderId="9" xfId="3" applyNumberFormat="1" applyFont="1" applyFill="1" applyBorder="1"/>
    <xf numFmtId="44" fontId="3" fillId="0" borderId="13" xfId="2" applyFont="1" applyBorder="1" applyAlignment="1">
      <alignment horizontal="center"/>
    </xf>
    <xf numFmtId="44" fontId="3" fillId="0" borderId="11" xfId="2" applyFont="1" applyBorder="1" applyAlignment="1">
      <alignment horizontal="center"/>
    </xf>
    <xf numFmtId="44" fontId="3" fillId="0" borderId="14" xfId="2" applyFont="1" applyFill="1" applyBorder="1"/>
    <xf numFmtId="44" fontId="3" fillId="3" borderId="14" xfId="2" applyFont="1" applyFill="1" applyBorder="1"/>
    <xf numFmtId="44" fontId="3" fillId="4" borderId="14" xfId="2" applyFont="1" applyFill="1" applyBorder="1"/>
    <xf numFmtId="44" fontId="3" fillId="5" borderId="14" xfId="2" applyFont="1" applyFill="1" applyBorder="1"/>
    <xf numFmtId="44" fontId="3" fillId="6" borderId="14" xfId="2" applyFont="1" applyFill="1" applyBorder="1"/>
    <xf numFmtId="44" fontId="3" fillId="9" borderId="14" xfId="2" applyFont="1" applyFill="1" applyBorder="1"/>
    <xf numFmtId="44" fontId="3" fillId="8" borderId="14" xfId="2" applyFont="1" applyFill="1" applyBorder="1"/>
    <xf numFmtId="44" fontId="3" fillId="0" borderId="36" xfId="2" applyFont="1" applyFill="1" applyBorder="1"/>
    <xf numFmtId="17" fontId="5" fillId="4" borderId="13" xfId="0" applyNumberFormat="1" applyFont="1" applyFill="1" applyBorder="1"/>
    <xf numFmtId="17" fontId="5" fillId="4" borderId="10" xfId="0" applyNumberFormat="1" applyFont="1" applyFill="1" applyBorder="1"/>
    <xf numFmtId="17" fontId="5" fillId="4" borderId="11" xfId="0" applyNumberFormat="1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165" fontId="0" fillId="4" borderId="0" xfId="3" applyNumberFormat="1" applyFont="1" applyFill="1"/>
    <xf numFmtId="0" fontId="10" fillId="3" borderId="40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0" borderId="41" xfId="0" applyFont="1" applyBorder="1" applyAlignment="1">
      <alignment horizontal="center" wrapText="1"/>
    </xf>
    <xf numFmtId="0" fontId="10" fillId="3" borderId="41" xfId="0" applyFont="1" applyFill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4" borderId="41" xfId="0" applyFont="1" applyFill="1" applyBorder="1" applyAlignment="1">
      <alignment horizontal="center" wrapText="1"/>
    </xf>
    <xf numFmtId="0" fontId="10" fillId="5" borderId="41" xfId="0" applyFont="1" applyFill="1" applyBorder="1" applyAlignment="1">
      <alignment horizontal="center" wrapText="1"/>
    </xf>
    <xf numFmtId="0" fontId="10" fillId="6" borderId="41" xfId="0" applyFont="1" applyFill="1" applyBorder="1" applyAlignment="1">
      <alignment horizontal="center" wrapText="1"/>
    </xf>
    <xf numFmtId="0" fontId="10" fillId="8" borderId="41" xfId="0" applyFont="1" applyFill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165" fontId="21" fillId="0" borderId="41" xfId="3" applyNumberFormat="1" applyFont="1" applyBorder="1" applyAlignment="1">
      <alignment horizontal="center"/>
    </xf>
    <xf numFmtId="0" fontId="10" fillId="13" borderId="10" xfId="0" applyFont="1" applyFill="1" applyBorder="1" applyAlignment="1">
      <alignment wrapText="1"/>
    </xf>
    <xf numFmtId="0" fontId="4" fillId="8" borderId="24" xfId="0" applyFont="1" applyFill="1" applyBorder="1"/>
    <xf numFmtId="0" fontId="4" fillId="0" borderId="58" xfId="0" applyFont="1" applyBorder="1"/>
    <xf numFmtId="44" fontId="4" fillId="0" borderId="59" xfId="2" applyFont="1" applyBorder="1"/>
    <xf numFmtId="44" fontId="4" fillId="0" borderId="46" xfId="2" applyFont="1" applyBorder="1"/>
    <xf numFmtId="44" fontId="4" fillId="0" borderId="0" xfId="2" applyFont="1" applyFill="1" applyBorder="1" applyAlignment="1">
      <alignment horizontal="center"/>
    </xf>
    <xf numFmtId="44" fontId="4" fillId="0" borderId="1" xfId="2" applyFont="1" applyFill="1" applyBorder="1"/>
    <xf numFmtId="44" fontId="4" fillId="8" borderId="20" xfId="2" applyFont="1" applyFill="1" applyBorder="1"/>
    <xf numFmtId="44" fontId="4" fillId="0" borderId="20" xfId="2" applyFont="1" applyFill="1" applyBorder="1"/>
    <xf numFmtId="44" fontId="4" fillId="12" borderId="24" xfId="2" applyFont="1" applyFill="1" applyBorder="1" applyAlignment="1"/>
    <xf numFmtId="44" fontId="4" fillId="0" borderId="46" xfId="2" applyFont="1" applyFill="1" applyBorder="1" applyAlignment="1"/>
    <xf numFmtId="165" fontId="4" fillId="0" borderId="46" xfId="3" applyNumberFormat="1" applyFont="1" applyFill="1" applyBorder="1" applyAlignment="1"/>
    <xf numFmtId="44" fontId="3" fillId="0" borderId="58" xfId="2" applyFont="1" applyFill="1" applyBorder="1" applyAlignment="1"/>
    <xf numFmtId="0" fontId="4" fillId="8" borderId="24" xfId="0" applyFont="1" applyFill="1" applyBorder="1" applyAlignment="1">
      <alignment horizontal="left"/>
    </xf>
    <xf numFmtId="0" fontId="4" fillId="0" borderId="58" xfId="0" applyFont="1" applyBorder="1" applyAlignment="1">
      <alignment horizontal="left"/>
    </xf>
    <xf numFmtId="44" fontId="4" fillId="3" borderId="26" xfId="2" applyFont="1" applyFill="1" applyBorder="1" applyAlignment="1">
      <alignment horizontal="right"/>
    </xf>
    <xf numFmtId="44" fontId="4" fillId="0" borderId="48" xfId="2" applyFont="1" applyFill="1" applyBorder="1"/>
    <xf numFmtId="44" fontId="4" fillId="8" borderId="26" xfId="2" applyFont="1" applyFill="1" applyBorder="1"/>
    <xf numFmtId="44" fontId="4" fillId="0" borderId="26" xfId="2" applyFont="1" applyFill="1" applyBorder="1"/>
    <xf numFmtId="0" fontId="4" fillId="6" borderId="24" xfId="0" applyFont="1" applyFill="1" applyBorder="1" applyAlignment="1">
      <alignment horizontal="left"/>
    </xf>
    <xf numFmtId="0" fontId="4" fillId="6" borderId="58" xfId="0" applyFont="1" applyFill="1" applyBorder="1" applyAlignment="1">
      <alignment horizontal="left"/>
    </xf>
    <xf numFmtId="44" fontId="4" fillId="6" borderId="59" xfId="2" applyFont="1" applyFill="1" applyBorder="1"/>
    <xf numFmtId="44" fontId="4" fillId="6" borderId="46" xfId="2" applyFont="1" applyFill="1" applyBorder="1"/>
    <xf numFmtId="44" fontId="4" fillId="6" borderId="26" xfId="2" applyFont="1" applyFill="1" applyBorder="1" applyAlignment="1">
      <alignment horizontal="right"/>
    </xf>
    <xf numFmtId="44" fontId="4" fillId="6" borderId="0" xfId="2" applyFont="1" applyFill="1" applyBorder="1" applyAlignment="1">
      <alignment horizontal="center"/>
    </xf>
    <xf numFmtId="44" fontId="4" fillId="6" borderId="57" xfId="2" applyFont="1" applyFill="1" applyBorder="1"/>
    <xf numFmtId="44" fontId="4" fillId="6" borderId="28" xfId="2" applyFont="1" applyFill="1" applyBorder="1" applyAlignment="1"/>
    <xf numFmtId="44" fontId="4" fillId="6" borderId="29" xfId="2" applyFont="1" applyFill="1" applyBorder="1" applyAlignment="1"/>
    <xf numFmtId="44" fontId="4" fillId="6" borderId="31" xfId="2" applyFont="1" applyFill="1" applyBorder="1" applyAlignment="1"/>
    <xf numFmtId="44" fontId="4" fillId="6" borderId="49" xfId="2" applyFont="1" applyFill="1" applyBorder="1" applyAlignment="1"/>
    <xf numFmtId="44" fontId="4" fillId="14" borderId="24" xfId="2" applyFont="1" applyFill="1" applyBorder="1" applyAlignment="1"/>
    <xf numFmtId="165" fontId="4" fillId="6" borderId="46" xfId="3" applyNumberFormat="1" applyFont="1" applyFill="1" applyBorder="1" applyAlignment="1"/>
    <xf numFmtId="44" fontId="3" fillId="6" borderId="58" xfId="2" applyFont="1" applyFill="1" applyBorder="1" applyAlignment="1"/>
    <xf numFmtId="0" fontId="4" fillId="0" borderId="28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4" fontId="4" fillId="0" borderId="49" xfId="2" applyFont="1" applyBorder="1"/>
    <xf numFmtId="44" fontId="4" fillId="0" borderId="29" xfId="2" applyFont="1" applyBorder="1"/>
    <xf numFmtId="44" fontId="4" fillId="3" borderId="26" xfId="2" applyFont="1" applyFill="1" applyBorder="1" applyAlignment="1">
      <alignment horizontal="right" wrapText="1"/>
    </xf>
    <xf numFmtId="0" fontId="4" fillId="0" borderId="31" xfId="0" applyFont="1" applyBorder="1" applyAlignment="1">
      <alignment horizontal="left"/>
    </xf>
    <xf numFmtId="0" fontId="4" fillId="0" borderId="52" xfId="0" applyFont="1" applyBorder="1" applyAlignment="1">
      <alignment horizontal="left" wrapText="1"/>
    </xf>
    <xf numFmtId="44" fontId="4" fillId="0" borderId="56" xfId="2" applyFont="1" applyBorder="1"/>
    <xf numFmtId="44" fontId="4" fillId="0" borderId="53" xfId="2" applyFont="1" applyBorder="1"/>
    <xf numFmtId="44" fontId="4" fillId="3" borderId="60" xfId="2" applyFont="1" applyFill="1" applyBorder="1" applyAlignment="1">
      <alignment horizontal="right" wrapText="1"/>
    </xf>
    <xf numFmtId="44" fontId="4" fillId="0" borderId="61" xfId="2" applyFont="1" applyFill="1" applyBorder="1"/>
    <xf numFmtId="44" fontId="4" fillId="0" borderId="60" xfId="2" applyFont="1" applyBorder="1"/>
    <xf numFmtId="44" fontId="4" fillId="12" borderId="65" xfId="2" applyFont="1" applyFill="1" applyBorder="1" applyAlignment="1"/>
    <xf numFmtId="44" fontId="4" fillId="0" borderId="66" xfId="2" applyFont="1" applyFill="1" applyBorder="1" applyAlignment="1"/>
    <xf numFmtId="165" fontId="4" fillId="0" borderId="66" xfId="3" applyNumberFormat="1" applyFont="1" applyFill="1" applyBorder="1" applyAlignment="1"/>
    <xf numFmtId="44" fontId="3" fillId="0" borderId="68" xfId="2" applyFont="1" applyFill="1" applyBorder="1" applyAlignment="1"/>
    <xf numFmtId="0" fontId="10" fillId="3" borderId="10" xfId="0" applyFont="1" applyFill="1" applyBorder="1" applyAlignment="1">
      <alignment wrapText="1"/>
    </xf>
    <xf numFmtId="0" fontId="4" fillId="0" borderId="73" xfId="0" applyFont="1" applyBorder="1"/>
    <xf numFmtId="0" fontId="4" fillId="0" borderId="74" xfId="0" applyFont="1" applyBorder="1" applyAlignment="1">
      <alignment horizontal="left"/>
    </xf>
    <xf numFmtId="44" fontId="4" fillId="0" borderId="75" xfId="2" applyFont="1" applyBorder="1"/>
    <xf numFmtId="44" fontId="4" fillId="0" borderId="76" xfId="2" applyFont="1" applyBorder="1"/>
    <xf numFmtId="44" fontId="4" fillId="4" borderId="14" xfId="2" applyFont="1" applyFill="1" applyBorder="1"/>
    <xf numFmtId="44" fontId="4" fillId="5" borderId="14" xfId="2" applyFont="1" applyFill="1" applyBorder="1"/>
    <xf numFmtId="44" fontId="4" fillId="6" borderId="14" xfId="2" applyFont="1" applyFill="1" applyBorder="1"/>
    <xf numFmtId="44" fontId="4" fillId="8" borderId="14" xfId="2" applyFont="1" applyFill="1" applyBorder="1"/>
    <xf numFmtId="44" fontId="4" fillId="0" borderId="14" xfId="2" applyFont="1" applyFill="1" applyBorder="1"/>
    <xf numFmtId="44" fontId="4" fillId="0" borderId="14" xfId="2" applyFont="1" applyBorder="1"/>
    <xf numFmtId="0" fontId="0" fillId="0" borderId="72" xfId="0" applyBorder="1"/>
    <xf numFmtId="44" fontId="4" fillId="10" borderId="73" xfId="2" applyFont="1" applyFill="1" applyBorder="1" applyAlignment="1"/>
    <xf numFmtId="44" fontId="4" fillId="10" borderId="76" xfId="2" applyFont="1" applyFill="1" applyBorder="1" applyAlignment="1"/>
    <xf numFmtId="44" fontId="4" fillId="10" borderId="74" xfId="2" applyFont="1" applyFill="1" applyBorder="1" applyAlignment="1"/>
    <xf numFmtId="44" fontId="4" fillId="10" borderId="75" xfId="2" applyFont="1" applyFill="1" applyBorder="1" applyAlignment="1"/>
    <xf numFmtId="44" fontId="3" fillId="0" borderId="0" xfId="2" applyFont="1" applyFill="1" applyBorder="1" applyAlignment="1">
      <alignment horizontal="center"/>
    </xf>
    <xf numFmtId="44" fontId="3" fillId="0" borderId="9" xfId="2" applyFont="1" applyBorder="1"/>
    <xf numFmtId="0" fontId="4" fillId="0" borderId="24" xfId="0" applyFont="1" applyBorder="1" applyAlignment="1">
      <alignment horizontal="left" wrapText="1"/>
    </xf>
    <xf numFmtId="0" fontId="4" fillId="0" borderId="58" xfId="0" applyFont="1" applyBorder="1" applyAlignment="1">
      <alignment horizontal="right" wrapText="1"/>
    </xf>
    <xf numFmtId="44" fontId="4" fillId="3" borderId="18" xfId="2" applyFont="1" applyFill="1" applyBorder="1" applyAlignment="1">
      <alignment horizontal="right" wrapText="1"/>
    </xf>
    <xf numFmtId="44" fontId="4" fillId="0" borderId="1" xfId="2" applyFont="1" applyBorder="1"/>
    <xf numFmtId="0" fontId="4" fillId="0" borderId="31" xfId="0" applyFont="1" applyBorder="1" applyAlignment="1">
      <alignment horizontal="right" wrapText="1"/>
    </xf>
    <xf numFmtId="44" fontId="4" fillId="0" borderId="48" xfId="2" applyFont="1" applyBorder="1"/>
    <xf numFmtId="0" fontId="4" fillId="6" borderId="31" xfId="0" applyFont="1" applyFill="1" applyBorder="1" applyAlignment="1">
      <alignment horizontal="right" wrapText="1"/>
    </xf>
    <xf numFmtId="44" fontId="4" fillId="6" borderId="49" xfId="2" applyFont="1" applyFill="1" applyBorder="1"/>
    <xf numFmtId="44" fontId="4" fillId="6" borderId="29" xfId="2" applyFont="1" applyFill="1" applyBorder="1"/>
    <xf numFmtId="44" fontId="4" fillId="6" borderId="26" xfId="2" applyFont="1" applyFill="1" applyBorder="1" applyAlignment="1">
      <alignment horizontal="right" wrapText="1"/>
    </xf>
    <xf numFmtId="44" fontId="4" fillId="6" borderId="48" xfId="2" applyFont="1" applyFill="1" applyBorder="1"/>
    <xf numFmtId="44" fontId="4" fillId="8" borderId="32" xfId="2" applyFont="1" applyFill="1" applyBorder="1"/>
    <xf numFmtId="44" fontId="4" fillId="6" borderId="33" xfId="2" applyFont="1" applyFill="1" applyBorder="1" applyAlignment="1"/>
    <xf numFmtId="44" fontId="4" fillId="6" borderId="50" xfId="2" applyFont="1" applyFill="1" applyBorder="1" applyAlignment="1"/>
    <xf numFmtId="44" fontId="4" fillId="6" borderId="51" xfId="2" applyFont="1" applyFill="1" applyBorder="1" applyAlignment="1"/>
    <xf numFmtId="44" fontId="4" fillId="10" borderId="51" xfId="2" applyFont="1" applyFill="1" applyBorder="1" applyAlignment="1"/>
    <xf numFmtId="0" fontId="3" fillId="0" borderId="77" xfId="0" applyFont="1" applyBorder="1" applyAlignment="1">
      <alignment wrapText="1"/>
    </xf>
    <xf numFmtId="44" fontId="3" fillId="3" borderId="9" xfId="2" applyFont="1" applyFill="1" applyBorder="1" applyAlignment="1">
      <alignment horizontal="right" wrapText="1"/>
    </xf>
    <xf numFmtId="44" fontId="3" fillId="0" borderId="13" xfId="2" applyFont="1" applyBorder="1"/>
    <xf numFmtId="44" fontId="3" fillId="4" borderId="11" xfId="2" applyFont="1" applyFill="1" applyBorder="1"/>
    <xf numFmtId="44" fontId="3" fillId="10" borderId="9" xfId="2" applyFont="1" applyFill="1" applyBorder="1"/>
    <xf numFmtId="165" fontId="3" fillId="0" borderId="9" xfId="3" applyNumberFormat="1" applyFont="1" applyBorder="1"/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4" fontId="3" fillId="3" borderId="78" xfId="2" applyFont="1" applyFill="1" applyBorder="1"/>
    <xf numFmtId="44" fontId="3" fillId="0" borderId="78" xfId="2" applyFont="1" applyBorder="1"/>
    <xf numFmtId="44" fontId="3" fillId="4" borderId="78" xfId="2" applyFont="1" applyFill="1" applyBorder="1"/>
    <xf numFmtId="44" fontId="3" fillId="5" borderId="78" xfId="2" applyFont="1" applyFill="1" applyBorder="1"/>
    <xf numFmtId="44" fontId="3" fillId="6" borderId="78" xfId="2" applyFont="1" applyFill="1" applyBorder="1"/>
    <xf numFmtId="44" fontId="3" fillId="8" borderId="78" xfId="2" applyFont="1" applyFill="1" applyBorder="1"/>
    <xf numFmtId="44" fontId="3" fillId="10" borderId="78" xfId="2" applyFont="1" applyFill="1" applyBorder="1"/>
    <xf numFmtId="165" fontId="3" fillId="0" borderId="78" xfId="3" applyNumberFormat="1" applyFont="1" applyBorder="1"/>
    <xf numFmtId="0" fontId="20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3" fillId="0" borderId="36" xfId="2" applyFont="1" applyBorder="1"/>
    <xf numFmtId="0" fontId="9" fillId="7" borderId="9" xfId="0" applyFont="1" applyFill="1" applyBorder="1"/>
    <xf numFmtId="44" fontId="10" fillId="0" borderId="11" xfId="2" applyFont="1" applyBorder="1" applyAlignment="1">
      <alignment vertical="center"/>
    </xf>
    <xf numFmtId="44" fontId="13" fillId="0" borderId="9" xfId="2" quotePrefix="1" applyFont="1" applyFill="1" applyBorder="1" applyAlignment="1">
      <alignment horizontal="center" vertical="center" wrapText="1"/>
    </xf>
    <xf numFmtId="44" fontId="20" fillId="0" borderId="22" xfId="2" applyFont="1" applyBorder="1"/>
    <xf numFmtId="0" fontId="24" fillId="0" borderId="9" xfId="0" applyFont="1" applyBorder="1" applyAlignment="1">
      <alignment horizontal="left"/>
    </xf>
    <xf numFmtId="44" fontId="19" fillId="0" borderId="26" xfId="2" applyFont="1" applyFill="1" applyBorder="1"/>
    <xf numFmtId="44" fontId="20" fillId="0" borderId="31" xfId="2" applyFont="1" applyBorder="1"/>
    <xf numFmtId="44" fontId="19" fillId="6" borderId="26" xfId="2" applyFont="1" applyFill="1" applyBorder="1"/>
    <xf numFmtId="40" fontId="0" fillId="0" borderId="52" xfId="0" applyNumberFormat="1" applyBorder="1"/>
    <xf numFmtId="40" fontId="0" fillId="0" borderId="53" xfId="0" applyNumberFormat="1" applyBorder="1"/>
    <xf numFmtId="44" fontId="19" fillId="0" borderId="60" xfId="2" applyFont="1" applyFill="1" applyBorder="1"/>
    <xf numFmtId="40" fontId="20" fillId="0" borderId="37" xfId="1" applyNumberFormat="1" applyFont="1" applyBorder="1"/>
    <xf numFmtId="40" fontId="20" fillId="0" borderId="38" xfId="1" applyNumberFormat="1" applyFont="1" applyBorder="1"/>
    <xf numFmtId="40" fontId="20" fillId="0" borderId="39" xfId="1" applyNumberFormat="1" applyFont="1" applyBorder="1"/>
    <xf numFmtId="44" fontId="19" fillId="0" borderId="36" xfId="2" applyFont="1" applyFill="1" applyBorder="1"/>
    <xf numFmtId="44" fontId="20" fillId="0" borderId="0" xfId="2" applyFont="1"/>
    <xf numFmtId="165" fontId="19" fillId="6" borderId="9" xfId="3" applyNumberFormat="1" applyFont="1" applyFill="1" applyBorder="1"/>
    <xf numFmtId="8" fontId="0" fillId="4" borderId="0" xfId="0" applyNumberFormat="1" applyFill="1"/>
    <xf numFmtId="8" fontId="12" fillId="0" borderId="41" xfId="2" applyNumberFormat="1" applyFont="1" applyFill="1" applyBorder="1" applyAlignment="1">
      <alignment horizontal="center" wrapText="1"/>
    </xf>
    <xf numFmtId="8" fontId="10" fillId="13" borderId="11" xfId="0" applyNumberFormat="1" applyFont="1" applyFill="1" applyBorder="1" applyAlignment="1">
      <alignment wrapText="1"/>
    </xf>
    <xf numFmtId="44" fontId="4" fillId="0" borderId="80" xfId="2" applyFont="1" applyFill="1" applyBorder="1"/>
    <xf numFmtId="8" fontId="4" fillId="0" borderId="20" xfId="2" applyNumberFormat="1" applyFont="1" applyFill="1" applyBorder="1" applyAlignment="1"/>
    <xf numFmtId="44" fontId="4" fillId="0" borderId="27" xfId="2" applyFont="1" applyFill="1" applyBorder="1"/>
    <xf numFmtId="8" fontId="4" fillId="0" borderId="18" xfId="2" applyNumberFormat="1" applyFont="1" applyFill="1" applyBorder="1" applyAlignment="1"/>
    <xf numFmtId="44" fontId="4" fillId="6" borderId="27" xfId="2" applyFont="1" applyFill="1" applyBorder="1"/>
    <xf numFmtId="44" fontId="4" fillId="0" borderId="32" xfId="2" applyFont="1" applyFill="1" applyBorder="1"/>
    <xf numFmtId="44" fontId="4" fillId="0" borderId="81" xfId="2" applyFont="1" applyFill="1" applyBorder="1"/>
    <xf numFmtId="8" fontId="4" fillId="0" borderId="14" xfId="2" applyNumberFormat="1" applyFont="1" applyFill="1" applyBorder="1" applyAlignment="1"/>
    <xf numFmtId="0" fontId="3" fillId="0" borderId="9" xfId="0" applyFont="1" applyBorder="1" applyAlignment="1">
      <alignment wrapText="1"/>
    </xf>
    <xf numFmtId="44" fontId="3" fillId="0" borderId="9" xfId="2" applyFont="1" applyFill="1" applyBorder="1" applyAlignment="1">
      <alignment horizontal="right" wrapText="1"/>
    </xf>
    <xf numFmtId="0" fontId="10" fillId="3" borderId="13" xfId="0" applyFont="1" applyFill="1" applyBorder="1" applyAlignment="1">
      <alignment wrapText="1"/>
    </xf>
    <xf numFmtId="8" fontId="10" fillId="3" borderId="11" xfId="0" applyNumberFormat="1" applyFont="1" applyFill="1" applyBorder="1" applyAlignment="1">
      <alignment wrapText="1"/>
    </xf>
    <xf numFmtId="44" fontId="4" fillId="3" borderId="62" xfId="2" applyFont="1" applyFill="1" applyBorder="1"/>
    <xf numFmtId="44" fontId="4" fillId="3" borderId="77" xfId="2" applyFont="1" applyFill="1" applyBorder="1"/>
    <xf numFmtId="44" fontId="4" fillId="10" borderId="82" xfId="2" applyFont="1" applyFill="1" applyBorder="1" applyAlignment="1"/>
    <xf numFmtId="44" fontId="4" fillId="10" borderId="14" xfId="2" applyFont="1" applyFill="1" applyBorder="1" applyAlignment="1"/>
    <xf numFmtId="44" fontId="4" fillId="10" borderId="72" xfId="2" applyFont="1" applyFill="1" applyBorder="1" applyAlignment="1"/>
    <xf numFmtId="44" fontId="4" fillId="12" borderId="14" xfId="2" applyFont="1" applyFill="1" applyBorder="1" applyAlignment="1"/>
    <xf numFmtId="44" fontId="4" fillId="0" borderId="72" xfId="2" applyFont="1" applyFill="1" applyBorder="1" applyAlignment="1"/>
    <xf numFmtId="165" fontId="4" fillId="0" borderId="14" xfId="3" applyNumberFormat="1" applyFont="1" applyFill="1" applyBorder="1" applyAlignment="1"/>
    <xf numFmtId="44" fontId="3" fillId="0" borderId="77" xfId="2" applyFont="1" applyFill="1" applyBorder="1" applyAlignment="1"/>
    <xf numFmtId="44" fontId="3" fillId="3" borderId="13" xfId="2" applyFont="1" applyFill="1" applyBorder="1" applyAlignment="1">
      <alignment horizontal="right" wrapText="1"/>
    </xf>
    <xf numFmtId="44" fontId="3" fillId="3" borderId="11" xfId="2" applyFont="1" applyFill="1" applyBorder="1"/>
    <xf numFmtId="0" fontId="10" fillId="13" borderId="72" xfId="0" applyFont="1" applyFill="1" applyBorder="1" applyAlignment="1">
      <alignment wrapText="1"/>
    </xf>
    <xf numFmtId="44" fontId="4" fillId="0" borderId="25" xfId="2" applyFont="1" applyFill="1" applyBorder="1" applyAlignment="1"/>
    <xf numFmtId="165" fontId="4" fillId="0" borderId="20" xfId="3" applyNumberFormat="1" applyFont="1" applyFill="1" applyBorder="1" applyAlignment="1"/>
    <xf numFmtId="44" fontId="3" fillId="0" borderId="19" xfId="2" applyFont="1" applyFill="1" applyBorder="1" applyAlignment="1"/>
    <xf numFmtId="8" fontId="4" fillId="0" borderId="46" xfId="2" applyNumberFormat="1" applyFont="1" applyFill="1" applyBorder="1" applyAlignment="1"/>
    <xf numFmtId="165" fontId="4" fillId="0" borderId="18" xfId="3" applyNumberFormat="1" applyFont="1" applyFill="1" applyBorder="1" applyAlignment="1"/>
    <xf numFmtId="0" fontId="4" fillId="6" borderId="52" xfId="0" applyFont="1" applyFill="1" applyBorder="1" applyAlignment="1">
      <alignment horizontal="left" wrapText="1"/>
    </xf>
    <xf numFmtId="165" fontId="4" fillId="6" borderId="14" xfId="3" applyNumberFormat="1" applyFont="1" applyFill="1" applyBorder="1" applyAlignment="1"/>
    <xf numFmtId="44" fontId="3" fillId="6" borderId="19" xfId="2" applyFont="1" applyFill="1" applyBorder="1" applyAlignment="1"/>
    <xf numFmtId="8" fontId="4" fillId="6" borderId="46" xfId="2" applyNumberFormat="1" applyFont="1" applyFill="1" applyBorder="1" applyAlignment="1"/>
    <xf numFmtId="44" fontId="3" fillId="0" borderId="78" xfId="2" applyFont="1" applyFill="1" applyBorder="1"/>
    <xf numFmtId="8" fontId="3" fillId="0" borderId="78" xfId="2" applyNumberFormat="1" applyFont="1" applyBorder="1"/>
    <xf numFmtId="8" fontId="0" fillId="0" borderId="0" xfId="0" applyNumberFormat="1"/>
    <xf numFmtId="0" fontId="3" fillId="0" borderId="41" xfId="0" applyFont="1" applyBorder="1" applyAlignment="1">
      <alignment horizontal="center"/>
    </xf>
    <xf numFmtId="14" fontId="12" fillId="0" borderId="22" xfId="0" applyNumberFormat="1" applyFont="1" applyBorder="1" applyAlignment="1">
      <alignment horizontal="center" vertical="center" wrapText="1"/>
    </xf>
    <xf numFmtId="165" fontId="12" fillId="0" borderId="23" xfId="3" applyNumberFormat="1" applyFont="1" applyFill="1" applyBorder="1" applyAlignment="1">
      <alignment horizontal="center" vertical="center" wrapText="1"/>
    </xf>
    <xf numFmtId="14" fontId="12" fillId="0" borderId="41" xfId="0" applyNumberFormat="1" applyFont="1" applyBorder="1" applyAlignment="1">
      <alignment horizontal="center" vertical="center" wrapText="1"/>
    </xf>
    <xf numFmtId="40" fontId="1" fillId="0" borderId="18" xfId="1" applyNumberFormat="1" applyFill="1" applyBorder="1"/>
    <xf numFmtId="40" fontId="0" fillId="0" borderId="18" xfId="1" applyNumberFormat="1" applyFont="1" applyFill="1" applyBorder="1"/>
    <xf numFmtId="40" fontId="15" fillId="0" borderId="18" xfId="1" applyNumberFormat="1" applyFont="1" applyFill="1" applyBorder="1"/>
    <xf numFmtId="165" fontId="15" fillId="0" borderId="7" xfId="3" applyNumberFormat="1" applyFont="1" applyFill="1" applyBorder="1"/>
    <xf numFmtId="40" fontId="0" fillId="0" borderId="18" xfId="1" applyNumberFormat="1" applyFont="1" applyBorder="1"/>
    <xf numFmtId="40" fontId="0" fillId="0" borderId="58" xfId="1" applyNumberFormat="1" applyFont="1" applyBorder="1"/>
    <xf numFmtId="40" fontId="0" fillId="0" borderId="24" xfId="0" applyNumberFormat="1" applyBorder="1"/>
    <xf numFmtId="40" fontId="0" fillId="0" borderId="46" xfId="0" applyNumberFormat="1" applyBorder="1"/>
    <xf numFmtId="44" fontId="19" fillId="0" borderId="18" xfId="2" applyFont="1" applyFill="1" applyBorder="1"/>
    <xf numFmtId="40" fontId="1" fillId="0" borderId="9" xfId="1" applyNumberFormat="1" applyFill="1" applyBorder="1"/>
    <xf numFmtId="40" fontId="0" fillId="0" borderId="9" xfId="1" applyNumberFormat="1" applyFont="1" applyFill="1" applyBorder="1"/>
    <xf numFmtId="40" fontId="15" fillId="0" borderId="9" xfId="1" applyNumberFormat="1" applyFont="1" applyFill="1" applyBorder="1"/>
    <xf numFmtId="165" fontId="15" fillId="0" borderId="9" xfId="3" applyNumberFormat="1" applyFont="1" applyFill="1" applyBorder="1"/>
    <xf numFmtId="44" fontId="19" fillId="0" borderId="9" xfId="2" applyFont="1" applyFill="1" applyBorder="1"/>
    <xf numFmtId="0" fontId="10" fillId="8" borderId="11" xfId="0" applyFont="1" applyFill="1" applyBorder="1" applyAlignment="1">
      <alignment horizontal="center" wrapText="1"/>
    </xf>
    <xf numFmtId="44" fontId="4" fillId="8" borderId="47" xfId="2" applyFont="1" applyFill="1" applyBorder="1"/>
    <xf numFmtId="44" fontId="4" fillId="8" borderId="49" xfId="2" applyFont="1" applyFill="1" applyBorder="1"/>
    <xf numFmtId="44" fontId="4" fillId="8" borderId="79" xfId="2" applyFont="1" applyFill="1" applyBorder="1"/>
    <xf numFmtId="44" fontId="4" fillId="8" borderId="28" xfId="2" applyFont="1" applyFill="1" applyBorder="1"/>
    <xf numFmtId="44" fontId="4" fillId="8" borderId="52" xfId="2" applyFont="1" applyFill="1" applyBorder="1"/>
    <xf numFmtId="44" fontId="4" fillId="8" borderId="63" xfId="2" applyFont="1" applyFill="1" applyBorder="1"/>
    <xf numFmtId="44" fontId="4" fillId="8" borderId="24" xfId="2" applyFont="1" applyFill="1" applyBorder="1"/>
    <xf numFmtId="44" fontId="4" fillId="8" borderId="42" xfId="2" applyFont="1" applyFill="1" applyBorder="1"/>
    <xf numFmtId="44" fontId="4" fillId="8" borderId="33" xfId="2" applyFont="1" applyFill="1" applyBorder="1"/>
    <xf numFmtId="44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13" borderId="13" xfId="0" applyFont="1" applyFill="1" applyBorder="1" applyAlignment="1">
      <alignment horizontal="center" wrapText="1"/>
    </xf>
    <xf numFmtId="0" fontId="10" fillId="13" borderId="1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5B15C-B232-844F-9469-05A48FA5AE94}">
  <dimension ref="A1:D12"/>
  <sheetViews>
    <sheetView zoomScale="140" zoomScaleNormal="140" workbookViewId="0">
      <selection activeCell="C9" sqref="C9"/>
    </sheetView>
  </sheetViews>
  <sheetFormatPr defaultColWidth="11.25" defaultRowHeight="15.75" x14ac:dyDescent="0.25"/>
  <cols>
    <col min="1" max="1" width="33.75" bestFit="1" customWidth="1"/>
    <col min="2" max="2" width="15.75" bestFit="1" customWidth="1"/>
    <col min="3" max="3" width="14" bestFit="1" customWidth="1"/>
  </cols>
  <sheetData>
    <row r="1" spans="1:4" ht="20.25" x14ac:dyDescent="0.3">
      <c r="A1" s="531" t="s">
        <v>0</v>
      </c>
      <c r="B1" s="531"/>
      <c r="C1" s="531"/>
    </row>
    <row r="2" spans="1:4" ht="16.5" thickBot="1" x14ac:dyDescent="0.3">
      <c r="B2" s="1"/>
    </row>
    <row r="3" spans="1:4" x14ac:dyDescent="0.25">
      <c r="A3" s="2" t="s">
        <v>1</v>
      </c>
      <c r="B3" s="3"/>
      <c r="C3" s="4"/>
    </row>
    <row r="4" spans="1:4" ht="21" thickBot="1" x14ac:dyDescent="0.35">
      <c r="A4" s="5">
        <v>44986</v>
      </c>
      <c r="B4" s="6"/>
      <c r="C4" s="7"/>
    </row>
    <row r="5" spans="1:4" x14ac:dyDescent="0.25">
      <c r="B5" s="1"/>
    </row>
    <row r="6" spans="1:4" x14ac:dyDescent="0.25">
      <c r="A6" s="8" t="s">
        <v>2</v>
      </c>
      <c r="B6" s="9">
        <v>48781.22</v>
      </c>
      <c r="C6" s="8"/>
    </row>
    <row r="7" spans="1:4" x14ac:dyDescent="0.25">
      <c r="A7" s="8" t="s">
        <v>3</v>
      </c>
      <c r="B7" s="10">
        <v>15049.63</v>
      </c>
      <c r="C7" s="532" t="s">
        <v>4</v>
      </c>
      <c r="D7" s="532"/>
    </row>
    <row r="8" spans="1:4" x14ac:dyDescent="0.25">
      <c r="A8" s="8"/>
      <c r="B8" s="11"/>
      <c r="C8" s="8"/>
    </row>
    <row r="9" spans="1:4" ht="16.5" thickBot="1" x14ac:dyDescent="0.3">
      <c r="A9" s="12" t="s">
        <v>5</v>
      </c>
      <c r="B9" s="11"/>
      <c r="C9" s="13">
        <f>SUM(B6:B7)</f>
        <v>63830.85</v>
      </c>
    </row>
    <row r="10" spans="1:4" ht="16.5" thickTop="1" x14ac:dyDescent="0.25"/>
    <row r="11" spans="1:4" x14ac:dyDescent="0.25">
      <c r="A11" s="8"/>
    </row>
    <row r="12" spans="1:4" x14ac:dyDescent="0.25">
      <c r="A12" s="8"/>
    </row>
  </sheetData>
  <mergeCells count="2">
    <mergeCell ref="A1:C1"/>
    <mergeCell ref="C7:D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446F-3ED0-5641-9830-235FD4A47005}">
  <sheetPr>
    <pageSetUpPr fitToPage="1"/>
  </sheetPr>
  <dimension ref="A1:AQ66"/>
  <sheetViews>
    <sheetView topLeftCell="B2" zoomScale="140" zoomScaleNormal="140" workbookViewId="0">
      <selection activeCell="B66" sqref="B66"/>
    </sheetView>
  </sheetViews>
  <sheetFormatPr defaultColWidth="11.5" defaultRowHeight="15.75" x14ac:dyDescent="0.25"/>
  <cols>
    <col min="1" max="1" width="1.75" customWidth="1"/>
    <col min="2" max="2" width="52.5" style="39" bestFit="1" customWidth="1"/>
    <col min="3" max="3" width="0.75" style="39" customWidth="1"/>
    <col min="4" max="6" width="12.75" style="39" hidden="1" customWidth="1"/>
    <col min="7" max="7" width="0.75" style="39" hidden="1" customWidth="1"/>
    <col min="8" max="8" width="12.75" style="39" bestFit="1" customWidth="1"/>
    <col min="9" max="9" width="12.25" style="39" hidden="1" customWidth="1"/>
    <col min="10" max="10" width="10.75" style="39" hidden="1" customWidth="1"/>
    <col min="11" max="14" width="12" style="39" hidden="1" customWidth="1"/>
    <col min="15" max="15" width="10.75" style="39" bestFit="1" customWidth="1"/>
    <col min="16" max="16" width="12.75" style="39" bestFit="1" customWidth="1"/>
    <col min="17" max="17" width="12.25" style="39" bestFit="1" customWidth="1"/>
    <col min="18" max="18" width="8" style="113" bestFit="1" customWidth="1"/>
    <col min="19" max="19" width="12.25" style="39" bestFit="1" customWidth="1"/>
    <col min="20" max="20" width="1.75" style="46" customWidth="1"/>
    <col min="21" max="23" width="11.25" hidden="1" customWidth="1"/>
    <col min="24" max="24" width="11.5" customWidth="1"/>
    <col min="25" max="25" width="1.75" customWidth="1"/>
    <col min="26" max="28" width="11.25" hidden="1" customWidth="1"/>
    <col min="29" max="29" width="11.5" customWidth="1"/>
    <col min="30" max="30" width="1.75" customWidth="1"/>
    <col min="31" max="33" width="11.25" bestFit="1" customWidth="1"/>
    <col min="34" max="34" width="11.5" customWidth="1"/>
    <col min="35" max="35" width="1.75" hidden="1" customWidth="1"/>
    <col min="36" max="36" width="7" hidden="1" customWidth="1"/>
    <col min="37" max="37" width="6.75" hidden="1" customWidth="1"/>
    <col min="38" max="38" width="6.5" hidden="1" customWidth="1"/>
    <col min="39" max="39" width="11.5" hidden="1" customWidth="1"/>
    <col min="40" max="40" width="1.75" customWidth="1"/>
    <col min="41" max="41" width="13.75" style="460" bestFit="1" customWidth="1"/>
  </cols>
  <sheetData>
    <row r="1" spans="2:43" ht="19.5" thickBot="1" x14ac:dyDescent="0.3">
      <c r="B1" s="445" t="s">
        <v>6</v>
      </c>
      <c r="C1" s="15"/>
      <c r="D1" s="15"/>
      <c r="E1" s="15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6"/>
      <c r="S1" s="14"/>
      <c r="T1" s="17"/>
      <c r="U1" s="535" t="s">
        <v>7</v>
      </c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18"/>
      <c r="AJ1" s="18"/>
      <c r="AK1" s="18"/>
      <c r="AL1" s="18"/>
      <c r="AM1" s="19"/>
      <c r="AN1" s="18"/>
      <c r="AO1" s="446"/>
    </row>
    <row r="2" spans="2:43" ht="39" thickBot="1" x14ac:dyDescent="0.3">
      <c r="B2" s="20" t="s">
        <v>174</v>
      </c>
      <c r="C2" s="21"/>
      <c r="D2" s="22" t="s">
        <v>8</v>
      </c>
      <c r="E2" s="22" t="s">
        <v>9</v>
      </c>
      <c r="F2" s="22" t="s">
        <v>10</v>
      </c>
      <c r="G2" s="24"/>
      <c r="H2" s="533" t="s">
        <v>11</v>
      </c>
      <c r="I2" s="534"/>
      <c r="J2" s="534"/>
      <c r="K2" s="23" t="s">
        <v>12</v>
      </c>
      <c r="L2" s="25" t="s">
        <v>13</v>
      </c>
      <c r="M2" s="26" t="s">
        <v>14</v>
      </c>
      <c r="N2" s="27" t="s">
        <v>15</v>
      </c>
      <c r="O2" s="22" t="s">
        <v>171</v>
      </c>
      <c r="P2" s="22" t="s">
        <v>16</v>
      </c>
      <c r="Q2" s="22" t="s">
        <v>17</v>
      </c>
      <c r="R2" s="28" t="s">
        <v>18</v>
      </c>
      <c r="S2" s="22" t="s">
        <v>19</v>
      </c>
      <c r="T2" s="29"/>
      <c r="U2" s="30" t="s">
        <v>20</v>
      </c>
      <c r="V2" s="31" t="s">
        <v>21</v>
      </c>
      <c r="W2" s="32" t="s">
        <v>22</v>
      </c>
      <c r="X2" s="33" t="s">
        <v>23</v>
      </c>
      <c r="Y2" s="34"/>
      <c r="Z2" s="30" t="s">
        <v>24</v>
      </c>
      <c r="AA2" s="31" t="s">
        <v>25</v>
      </c>
      <c r="AB2" s="32" t="s">
        <v>26</v>
      </c>
      <c r="AC2" s="33" t="s">
        <v>27</v>
      </c>
      <c r="AD2" s="35"/>
      <c r="AE2" s="30" t="s">
        <v>28</v>
      </c>
      <c r="AF2" s="31" t="s">
        <v>29</v>
      </c>
      <c r="AG2" s="32" t="s">
        <v>30</v>
      </c>
      <c r="AH2" s="33" t="s">
        <v>31</v>
      </c>
      <c r="AI2" s="35"/>
      <c r="AJ2" s="30" t="s">
        <v>32</v>
      </c>
      <c r="AK2" s="36" t="s">
        <v>33</v>
      </c>
      <c r="AL2" s="32" t="s">
        <v>34</v>
      </c>
      <c r="AM2" s="33" t="s">
        <v>35</v>
      </c>
      <c r="AN2" s="35"/>
      <c r="AO2" s="447" t="s">
        <v>36</v>
      </c>
    </row>
    <row r="3" spans="2:43" ht="16.5" thickBot="1" x14ac:dyDescent="0.3">
      <c r="B3" s="37" t="s">
        <v>37</v>
      </c>
      <c r="C3" s="38"/>
      <c r="D3" s="22"/>
      <c r="E3" s="22"/>
      <c r="F3" s="22"/>
      <c r="H3" s="501" t="s">
        <v>38</v>
      </c>
      <c r="I3" s="40" t="s">
        <v>172</v>
      </c>
      <c r="J3" s="41" t="s">
        <v>173</v>
      </c>
      <c r="K3" s="42"/>
      <c r="L3" s="43"/>
      <c r="M3" s="44"/>
      <c r="N3" s="45"/>
      <c r="O3" s="502"/>
      <c r="P3" s="502"/>
      <c r="Q3" s="502"/>
      <c r="R3" s="503"/>
      <c r="S3" s="504"/>
      <c r="U3" s="47"/>
      <c r="X3" s="48"/>
      <c r="Z3" s="47"/>
      <c r="AC3" s="49"/>
      <c r="AE3" s="47"/>
      <c r="AH3" s="49"/>
      <c r="AJ3" s="47"/>
      <c r="AM3" s="49"/>
      <c r="AO3" s="448"/>
    </row>
    <row r="4" spans="2:43" ht="16.5" thickBot="1" x14ac:dyDescent="0.3">
      <c r="B4" s="449" t="s">
        <v>39</v>
      </c>
      <c r="C4" s="51"/>
      <c r="D4" s="52"/>
      <c r="E4" s="52"/>
      <c r="F4" s="52"/>
      <c r="G4" s="53"/>
      <c r="H4" s="514">
        <v>1177535.3695999999</v>
      </c>
      <c r="I4" s="55">
        <v>686004.69364800001</v>
      </c>
      <c r="J4" s="56">
        <v>491530.67595200008</v>
      </c>
      <c r="K4" s="57">
        <v>0</v>
      </c>
      <c r="L4" s="58">
        <v>0</v>
      </c>
      <c r="M4" s="59">
        <v>-20000</v>
      </c>
      <c r="N4" s="60">
        <v>-6000</v>
      </c>
      <c r="O4" s="515">
        <v>-26000</v>
      </c>
      <c r="P4" s="515">
        <v>1151535.3695999999</v>
      </c>
      <c r="Q4" s="516">
        <v>837691.99</v>
      </c>
      <c r="R4" s="517">
        <v>0.72745658719191819</v>
      </c>
      <c r="S4" s="516">
        <v>313843.37959999987</v>
      </c>
      <c r="T4" s="64"/>
      <c r="U4" s="62">
        <v>87060.09</v>
      </c>
      <c r="V4" s="62">
        <v>90191.55</v>
      </c>
      <c r="W4" s="62">
        <v>87939.36</v>
      </c>
      <c r="X4" s="516">
        <v>265191</v>
      </c>
      <c r="Y4" s="69"/>
      <c r="Z4" s="62">
        <v>88801.135999999999</v>
      </c>
      <c r="AA4" s="62">
        <v>97057.600000000006</v>
      </c>
      <c r="AB4" s="62">
        <v>91526.693999999989</v>
      </c>
      <c r="AC4" s="516">
        <v>277385.43</v>
      </c>
      <c r="AD4" s="69"/>
      <c r="AE4" s="516">
        <v>99592.266999999993</v>
      </c>
      <c r="AF4" s="516">
        <v>88730.933000000005</v>
      </c>
      <c r="AG4" s="516">
        <v>106792.36</v>
      </c>
      <c r="AH4" s="516">
        <v>295115.56</v>
      </c>
      <c r="AI4" s="69"/>
      <c r="AJ4" s="62">
        <v>0</v>
      </c>
      <c r="AK4" s="62">
        <v>0</v>
      </c>
      <c r="AL4" s="62">
        <v>0</v>
      </c>
      <c r="AM4" s="62">
        <v>0</v>
      </c>
      <c r="AN4" s="69"/>
      <c r="AO4" s="518">
        <v>837691.99</v>
      </c>
    </row>
    <row r="5" spans="2:43" ht="16.5" hidden="1" thickBot="1" x14ac:dyDescent="0.3">
      <c r="B5" s="50" t="s">
        <v>40</v>
      </c>
      <c r="C5" s="51"/>
      <c r="D5" s="52">
        <v>583366.1</v>
      </c>
      <c r="E5" s="52">
        <v>805172.72</v>
      </c>
      <c r="F5" s="52">
        <v>959112.64</v>
      </c>
      <c r="G5" s="53"/>
      <c r="H5" s="505">
        <v>1177535.3695999999</v>
      </c>
      <c r="I5" s="55">
        <v>686004.69364800001</v>
      </c>
      <c r="J5" s="56">
        <v>491530.67595200008</v>
      </c>
      <c r="K5" s="57"/>
      <c r="L5" s="58"/>
      <c r="M5" s="59">
        <v>-20000</v>
      </c>
      <c r="N5" s="60">
        <v>-6000</v>
      </c>
      <c r="O5" s="506">
        <v>-26000</v>
      </c>
      <c r="P5" s="506">
        <v>1151535.3695999999</v>
      </c>
      <c r="Q5" s="507">
        <v>837691.99</v>
      </c>
      <c r="R5" s="508">
        <v>0.72745658719191819</v>
      </c>
      <c r="S5" s="507">
        <v>313843.37959999987</v>
      </c>
      <c r="T5" s="64"/>
      <c r="U5" s="65">
        <v>87060.09</v>
      </c>
      <c r="V5" s="66">
        <v>90191.55</v>
      </c>
      <c r="W5" s="67">
        <v>87939.36</v>
      </c>
      <c r="X5" s="509">
        <v>265191</v>
      </c>
      <c r="Y5" s="69"/>
      <c r="Z5" s="70">
        <v>88801.135999999999</v>
      </c>
      <c r="AA5" s="71">
        <v>97057.600000000006</v>
      </c>
      <c r="AB5" s="71">
        <v>91526.693999999989</v>
      </c>
      <c r="AC5" s="510">
        <v>277385.43</v>
      </c>
      <c r="AD5" s="69"/>
      <c r="AE5" s="511">
        <v>99592.266999999993</v>
      </c>
      <c r="AF5" s="512">
        <v>88730.933000000005</v>
      </c>
      <c r="AG5" s="512">
        <v>106792.36</v>
      </c>
      <c r="AH5" s="510">
        <v>295115.56</v>
      </c>
      <c r="AI5" s="69"/>
      <c r="AJ5" s="70"/>
      <c r="AK5" s="71"/>
      <c r="AL5" s="71"/>
      <c r="AM5" s="72">
        <v>0</v>
      </c>
      <c r="AN5" s="69"/>
      <c r="AO5" s="513">
        <v>837691.99</v>
      </c>
    </row>
    <row r="6" spans="2:43" ht="7.9" customHeight="1" thickBot="1" x14ac:dyDescent="0.3">
      <c r="B6" s="50"/>
      <c r="C6" s="51"/>
      <c r="D6" s="52"/>
      <c r="E6" s="52"/>
      <c r="F6" s="52"/>
      <c r="G6" s="53"/>
      <c r="H6" s="54"/>
      <c r="I6" s="55"/>
      <c r="J6" s="56"/>
      <c r="K6" s="57"/>
      <c r="L6" s="58"/>
      <c r="M6" s="59"/>
      <c r="N6" s="60"/>
      <c r="O6" s="61"/>
      <c r="P6" s="61"/>
      <c r="Q6" s="62"/>
      <c r="R6" s="63"/>
      <c r="S6" s="62"/>
      <c r="T6" s="64"/>
      <c r="U6" s="65"/>
      <c r="V6" s="66"/>
      <c r="W6" s="67"/>
      <c r="X6" s="68"/>
      <c r="Y6" s="69"/>
      <c r="Z6" s="70"/>
      <c r="AA6" s="71"/>
      <c r="AB6" s="71"/>
      <c r="AC6" s="72"/>
      <c r="AD6" s="69"/>
      <c r="AE6" s="70"/>
      <c r="AF6" s="71"/>
      <c r="AG6" s="71"/>
      <c r="AH6" s="72"/>
      <c r="AI6" s="69"/>
      <c r="AJ6" s="70"/>
      <c r="AK6" s="71"/>
      <c r="AL6" s="71"/>
      <c r="AM6" s="72"/>
      <c r="AN6" s="69"/>
      <c r="AO6" s="451"/>
    </row>
    <row r="7" spans="2:43" ht="16.5" thickBot="1" x14ac:dyDescent="0.3">
      <c r="B7" s="449" t="s">
        <v>41</v>
      </c>
      <c r="C7" s="50"/>
      <c r="D7" s="74"/>
      <c r="E7" s="74"/>
      <c r="F7" s="74"/>
      <c r="G7" s="75"/>
      <c r="H7" s="514">
        <v>333721.2686344001</v>
      </c>
      <c r="I7" s="55">
        <v>194955.06040407199</v>
      </c>
      <c r="J7" s="56">
        <v>138766.20823032799</v>
      </c>
      <c r="K7" s="57">
        <v>0</v>
      </c>
      <c r="L7" s="58">
        <v>0</v>
      </c>
      <c r="M7" s="59">
        <v>-10000</v>
      </c>
      <c r="N7" s="60">
        <v>-2552.09</v>
      </c>
      <c r="O7" s="515">
        <v>-12552.09</v>
      </c>
      <c r="P7" s="515">
        <v>321169.17863440013</v>
      </c>
      <c r="Q7" s="516">
        <v>233415.872164</v>
      </c>
      <c r="R7" s="517">
        <v>0.72676921601405198</v>
      </c>
      <c r="S7" s="516">
        <v>87753.306470400115</v>
      </c>
      <c r="T7" s="64"/>
      <c r="U7" s="62">
        <v>6569.436020000001</v>
      </c>
      <c r="V7" s="62">
        <v>6731.7502649999988</v>
      </c>
      <c r="W7" s="62">
        <v>6482.0597349999998</v>
      </c>
      <c r="X7" s="516">
        <v>72234.507163999995</v>
      </c>
      <c r="Y7" s="69"/>
      <c r="Z7" s="62">
        <v>6606.7520000000004</v>
      </c>
      <c r="AA7" s="62">
        <v>7247.8656640000008</v>
      </c>
      <c r="AB7" s="62">
        <v>6897.6937460000008</v>
      </c>
      <c r="AC7" s="516">
        <v>73583.05601</v>
      </c>
      <c r="AD7" s="69"/>
      <c r="AE7" s="516">
        <v>29012.502990000001</v>
      </c>
      <c r="AF7" s="516">
        <v>27282.162560000001</v>
      </c>
      <c r="AG7" s="516">
        <v>31303.64344</v>
      </c>
      <c r="AH7" s="516">
        <v>87598.30898999999</v>
      </c>
      <c r="AI7" s="69"/>
      <c r="AJ7" s="62">
        <v>0</v>
      </c>
      <c r="AK7" s="62">
        <v>0</v>
      </c>
      <c r="AL7" s="62">
        <v>0</v>
      </c>
      <c r="AM7" s="62">
        <v>0</v>
      </c>
      <c r="AN7" s="69"/>
      <c r="AO7" s="518">
        <v>233415.872164</v>
      </c>
      <c r="AQ7" s="529"/>
    </row>
    <row r="8" spans="2:43" ht="16.5" hidden="1" thickBot="1" x14ac:dyDescent="0.3">
      <c r="B8" s="50" t="s">
        <v>42</v>
      </c>
      <c r="C8" s="51"/>
      <c r="D8" s="52">
        <v>43726</v>
      </c>
      <c r="E8" s="52">
        <v>61618.32</v>
      </c>
      <c r="F8" s="52">
        <v>78666.97</v>
      </c>
      <c r="G8" s="53"/>
      <c r="H8" s="54">
        <v>90081.455774400049</v>
      </c>
      <c r="I8" s="55">
        <v>52479.359064072007</v>
      </c>
      <c r="J8" s="56">
        <v>37602.096710327998</v>
      </c>
      <c r="K8" s="57"/>
      <c r="L8" s="58"/>
      <c r="M8" s="59"/>
      <c r="N8" s="60">
        <v>-2552.09</v>
      </c>
      <c r="O8" s="61">
        <v>-2552.09</v>
      </c>
      <c r="P8" s="61">
        <v>87529.365774400052</v>
      </c>
      <c r="Q8" s="62">
        <v>62277.081019999998</v>
      </c>
      <c r="R8" s="63">
        <v>0.71149928334353751</v>
      </c>
      <c r="S8" s="62">
        <v>25252.284754400054</v>
      </c>
      <c r="T8" s="64"/>
      <c r="U8" s="65">
        <v>6569.436020000001</v>
      </c>
      <c r="V8" s="66">
        <v>6731.7502649999988</v>
      </c>
      <c r="W8" s="67">
        <v>6482.0597349999998</v>
      </c>
      <c r="X8" s="68">
        <v>19783.246019999999</v>
      </c>
      <c r="Y8" s="69"/>
      <c r="Z8" s="70">
        <v>6606.7520000000004</v>
      </c>
      <c r="AA8" s="71">
        <v>7247.8656640000008</v>
      </c>
      <c r="AB8" s="71">
        <v>6897.6937460000008</v>
      </c>
      <c r="AC8" s="72">
        <v>20752.311410000002</v>
      </c>
      <c r="AD8" s="69"/>
      <c r="AE8" s="70">
        <v>7313.3825900000002</v>
      </c>
      <c r="AF8" s="71">
        <v>6613.1584800000001</v>
      </c>
      <c r="AG8" s="71">
        <v>7814.9825199999996</v>
      </c>
      <c r="AH8" s="72">
        <v>21741.523589999997</v>
      </c>
      <c r="AI8" s="69"/>
      <c r="AJ8" s="70"/>
      <c r="AK8" s="71"/>
      <c r="AL8" s="71"/>
      <c r="AM8" s="72">
        <v>0</v>
      </c>
      <c r="AN8" s="69"/>
      <c r="AO8" s="450">
        <v>62277.081019999998</v>
      </c>
    </row>
    <row r="9" spans="2:43" ht="16.5" hidden="1" thickBot="1" x14ac:dyDescent="0.3">
      <c r="B9" s="50" t="s">
        <v>43</v>
      </c>
      <c r="C9" s="51"/>
      <c r="D9" s="52">
        <v>3502.9</v>
      </c>
      <c r="E9" s="52">
        <v>5642.91</v>
      </c>
      <c r="F9" s="52">
        <v>4348.21</v>
      </c>
      <c r="G9" s="53"/>
      <c r="H9" s="54">
        <v>16067.300000000007</v>
      </c>
      <c r="I9" s="55">
        <v>9438.2430000000022</v>
      </c>
      <c r="J9" s="56">
        <v>6629.0570000000016</v>
      </c>
      <c r="K9" s="57"/>
      <c r="L9" s="58"/>
      <c r="M9" s="59">
        <v>-10000</v>
      </c>
      <c r="N9" s="60"/>
      <c r="O9" s="61">
        <v>-10000</v>
      </c>
      <c r="P9" s="61">
        <v>6067.3000000000065</v>
      </c>
      <c r="Q9" s="62">
        <v>5878.5651240000007</v>
      </c>
      <c r="R9" s="63">
        <v>0.96889310302770493</v>
      </c>
      <c r="S9" s="62">
        <v>188.7348760000059</v>
      </c>
      <c r="T9" s="64"/>
      <c r="U9" s="65">
        <v>273.05512399999998</v>
      </c>
      <c r="V9" s="66">
        <v>100.76175000000001</v>
      </c>
      <c r="W9" s="67">
        <v>336.00824999999998</v>
      </c>
      <c r="X9" s="68">
        <v>709.82512399999996</v>
      </c>
      <c r="Y9" s="69"/>
      <c r="Z9" s="70">
        <v>222.59099999999998</v>
      </c>
      <c r="AA9" s="71">
        <v>170.20500000000004</v>
      </c>
      <c r="AB9" s="71">
        <v>260.38399999999996</v>
      </c>
      <c r="AC9" s="72">
        <v>653.18000000000006</v>
      </c>
      <c r="AD9" s="69"/>
      <c r="AE9" s="70">
        <v>1858.163</v>
      </c>
      <c r="AF9" s="70">
        <v>1298.2270000000001</v>
      </c>
      <c r="AG9" s="71">
        <v>1359.1700000000003</v>
      </c>
      <c r="AH9" s="72">
        <v>4515.5600000000004</v>
      </c>
      <c r="AI9" s="69"/>
      <c r="AJ9" s="70"/>
      <c r="AK9" s="71"/>
      <c r="AL9" s="71"/>
      <c r="AM9" s="72">
        <v>0</v>
      </c>
      <c r="AN9" s="69"/>
      <c r="AO9" s="450">
        <v>5878.5651240000007</v>
      </c>
    </row>
    <row r="10" spans="2:43" ht="16.5" hidden="1" thickBot="1" x14ac:dyDescent="0.3">
      <c r="B10" s="50" t="s">
        <v>44</v>
      </c>
      <c r="C10" s="76"/>
      <c r="D10" s="52">
        <v>78067.040000000008</v>
      </c>
      <c r="E10" s="52">
        <v>105313</v>
      </c>
      <c r="F10" s="52">
        <v>139350.32999999999</v>
      </c>
      <c r="G10" s="53"/>
      <c r="H10" s="54">
        <v>134690.35000000006</v>
      </c>
      <c r="I10" s="55">
        <v>79119.718500000003</v>
      </c>
      <c r="J10" s="56">
        <v>55570.631500000003</v>
      </c>
      <c r="K10" s="57"/>
      <c r="L10" s="58"/>
      <c r="M10" s="59"/>
      <c r="N10" s="60"/>
      <c r="O10" s="61">
        <v>0</v>
      </c>
      <c r="P10" s="61">
        <v>134690.35000000006</v>
      </c>
      <c r="Q10" s="62">
        <v>100099.42</v>
      </c>
      <c r="R10" s="63">
        <v>0.7431818240876199</v>
      </c>
      <c r="S10" s="62">
        <v>34590.930000000066</v>
      </c>
      <c r="T10" s="64"/>
      <c r="U10" s="65">
        <v>10517.53</v>
      </c>
      <c r="V10" s="66">
        <v>10517.53</v>
      </c>
      <c r="W10" s="67">
        <v>9892.4399999999987</v>
      </c>
      <c r="X10" s="68">
        <v>30927.5</v>
      </c>
      <c r="Y10" s="69"/>
      <c r="Z10" s="70">
        <v>9894.65</v>
      </c>
      <c r="AA10" s="71">
        <v>9892.44</v>
      </c>
      <c r="AB10" s="71">
        <v>10884.86</v>
      </c>
      <c r="AC10" s="72">
        <v>30671.95</v>
      </c>
      <c r="AD10" s="69"/>
      <c r="AE10" s="70">
        <v>12284.289999999999</v>
      </c>
      <c r="AF10" s="71">
        <v>12354.96</v>
      </c>
      <c r="AG10" s="71">
        <v>13860.720000000001</v>
      </c>
      <c r="AH10" s="72">
        <v>38499.97</v>
      </c>
      <c r="AI10" s="69"/>
      <c r="AJ10" s="70"/>
      <c r="AK10" s="71"/>
      <c r="AL10" s="71"/>
      <c r="AM10" s="72">
        <v>0</v>
      </c>
      <c r="AN10" s="69"/>
      <c r="AO10" s="450">
        <v>100099.42</v>
      </c>
    </row>
    <row r="11" spans="2:43" ht="16.5" hidden="1" thickBot="1" x14ac:dyDescent="0.3">
      <c r="B11" s="50" t="s">
        <v>45</v>
      </c>
      <c r="C11" s="76"/>
      <c r="D11" s="52">
        <v>46355.3</v>
      </c>
      <c r="E11" s="52">
        <v>67523.320000000007</v>
      </c>
      <c r="F11" s="52">
        <v>76234.63</v>
      </c>
      <c r="G11" s="53"/>
      <c r="H11" s="54">
        <v>92882.162859999982</v>
      </c>
      <c r="I11" s="55">
        <v>53917.739839999987</v>
      </c>
      <c r="J11" s="56">
        <v>38964.423020000002</v>
      </c>
      <c r="K11" s="57"/>
      <c r="L11" s="58"/>
      <c r="M11" s="59"/>
      <c r="N11" s="60"/>
      <c r="O11" s="61">
        <v>0</v>
      </c>
      <c r="P11" s="61">
        <v>92882.162859999982</v>
      </c>
      <c r="Q11" s="62">
        <v>65160.806019999989</v>
      </c>
      <c r="R11" s="63">
        <v>0.70154272912675364</v>
      </c>
      <c r="S11" s="62">
        <v>27721.356839999993</v>
      </c>
      <c r="T11" s="64"/>
      <c r="U11" s="65">
        <v>6696.34602</v>
      </c>
      <c r="V11" s="66">
        <v>7235.9653149999995</v>
      </c>
      <c r="W11" s="67">
        <v>6881.6246849999998</v>
      </c>
      <c r="X11" s="68">
        <v>20813.936019999997</v>
      </c>
      <c r="Y11" s="69"/>
      <c r="Z11" s="70">
        <v>6800.54</v>
      </c>
      <c r="AA11" s="71">
        <v>7418.7278399999996</v>
      </c>
      <c r="AB11" s="71">
        <v>7286.3467600000013</v>
      </c>
      <c r="AC11" s="72">
        <v>21505.614600000001</v>
      </c>
      <c r="AD11" s="69"/>
      <c r="AE11" s="70">
        <v>7556.6674000000003</v>
      </c>
      <c r="AF11" s="71">
        <v>7015.8170799999998</v>
      </c>
      <c r="AG11" s="71">
        <v>8268.770919999999</v>
      </c>
      <c r="AH11" s="72">
        <v>22841.255399999998</v>
      </c>
      <c r="AI11" s="69"/>
      <c r="AJ11" s="70"/>
      <c r="AK11" s="71"/>
      <c r="AL11" s="71"/>
      <c r="AM11" s="72">
        <v>0</v>
      </c>
      <c r="AN11" s="69"/>
      <c r="AO11" s="450">
        <v>65160.806019999989</v>
      </c>
    </row>
    <row r="12" spans="2:43" ht="7.9" customHeight="1" thickBot="1" x14ac:dyDescent="0.3">
      <c r="B12" s="50"/>
      <c r="C12" s="76"/>
      <c r="D12" s="52"/>
      <c r="E12" s="52"/>
      <c r="F12" s="52"/>
      <c r="G12" s="53"/>
      <c r="H12" s="54"/>
      <c r="I12" s="55"/>
      <c r="J12" s="56"/>
      <c r="K12" s="57"/>
      <c r="L12" s="58"/>
      <c r="M12" s="59"/>
      <c r="N12" s="60"/>
      <c r="O12" s="61"/>
      <c r="P12" s="61"/>
      <c r="Q12" s="62"/>
      <c r="R12" s="63"/>
      <c r="S12" s="62"/>
      <c r="T12" s="64"/>
      <c r="U12" s="65"/>
      <c r="V12" s="62"/>
      <c r="W12" s="67"/>
      <c r="X12" s="68"/>
      <c r="Y12" s="69"/>
      <c r="Z12" s="70"/>
      <c r="AA12" s="71"/>
      <c r="AB12" s="71"/>
      <c r="AC12" s="72"/>
      <c r="AD12" s="69"/>
      <c r="AE12" s="70"/>
      <c r="AF12" s="71"/>
      <c r="AG12" s="71"/>
      <c r="AH12" s="72"/>
      <c r="AI12" s="69"/>
      <c r="AJ12" s="70"/>
      <c r="AK12" s="71"/>
      <c r="AL12" s="71"/>
      <c r="AM12" s="72"/>
      <c r="AN12" s="69"/>
      <c r="AO12" s="451"/>
    </row>
    <row r="13" spans="2:43" ht="16.5" thickBot="1" x14ac:dyDescent="0.3">
      <c r="B13" s="449" t="s">
        <v>46</v>
      </c>
      <c r="C13" s="77"/>
      <c r="D13" s="74"/>
      <c r="E13" s="74"/>
      <c r="F13" s="74"/>
      <c r="G13" s="75"/>
      <c r="H13" s="514">
        <v>382500</v>
      </c>
      <c r="I13" s="55">
        <v>256275</v>
      </c>
      <c r="J13" s="56">
        <v>126225</v>
      </c>
      <c r="K13" s="57">
        <v>0</v>
      </c>
      <c r="L13" s="58">
        <v>0</v>
      </c>
      <c r="M13" s="59">
        <v>24912.05</v>
      </c>
      <c r="N13" s="60">
        <v>0</v>
      </c>
      <c r="O13" s="515">
        <v>24912.05</v>
      </c>
      <c r="P13" s="515">
        <v>407412.05</v>
      </c>
      <c r="Q13" s="516">
        <v>304158.93000000005</v>
      </c>
      <c r="R13" s="517">
        <v>0.74656341166148632</v>
      </c>
      <c r="S13" s="516">
        <v>103253.11999999998</v>
      </c>
      <c r="T13" s="64"/>
      <c r="U13" s="62">
        <v>408.94000000000005</v>
      </c>
      <c r="V13" s="62">
        <v>583.52</v>
      </c>
      <c r="W13" s="62">
        <v>1398.72</v>
      </c>
      <c r="X13" s="516">
        <v>138766.53</v>
      </c>
      <c r="Y13" s="69"/>
      <c r="Z13" s="62">
        <v>699.21</v>
      </c>
      <c r="AA13" s="62">
        <v>357.89</v>
      </c>
      <c r="AB13" s="62">
        <v>727.68999999999994</v>
      </c>
      <c r="AC13" s="516">
        <v>91494.949999999983</v>
      </c>
      <c r="AD13" s="69"/>
      <c r="AE13" s="516">
        <v>22102.01</v>
      </c>
      <c r="AF13" s="516">
        <v>25004.1</v>
      </c>
      <c r="AG13" s="516">
        <v>26791.340000000004</v>
      </c>
      <c r="AH13" s="516">
        <v>73897.450000000012</v>
      </c>
      <c r="AI13" s="69"/>
      <c r="AJ13" s="62">
        <v>0</v>
      </c>
      <c r="AK13" s="62">
        <v>0</v>
      </c>
      <c r="AL13" s="62">
        <v>0</v>
      </c>
      <c r="AM13" s="62">
        <v>0</v>
      </c>
      <c r="AN13" s="69"/>
      <c r="AO13" s="518">
        <v>304158.93</v>
      </c>
      <c r="AQ13" s="530"/>
    </row>
    <row r="14" spans="2:43" ht="16.5" hidden="1" thickBot="1" x14ac:dyDescent="0.3">
      <c r="B14" s="50" t="s">
        <v>47</v>
      </c>
      <c r="C14" s="76"/>
      <c r="D14" s="52">
        <v>6500</v>
      </c>
      <c r="E14" s="52">
        <v>6500</v>
      </c>
      <c r="F14" s="52">
        <v>13500</v>
      </c>
      <c r="G14" s="53"/>
      <c r="H14" s="73">
        <v>8500</v>
      </c>
      <c r="I14" s="65">
        <v>5695</v>
      </c>
      <c r="J14" s="67">
        <v>2805</v>
      </c>
      <c r="K14" s="57"/>
      <c r="L14" s="58"/>
      <c r="M14" s="59"/>
      <c r="N14" s="60"/>
      <c r="O14" s="61">
        <v>0</v>
      </c>
      <c r="P14" s="61">
        <v>8500</v>
      </c>
      <c r="Q14" s="62">
        <v>6367.16</v>
      </c>
      <c r="R14" s="63">
        <v>0.74907764705882351</v>
      </c>
      <c r="S14" s="62">
        <v>2132.84</v>
      </c>
      <c r="T14" s="64"/>
      <c r="U14" s="65">
        <v>408.94000000000005</v>
      </c>
      <c r="V14" s="66">
        <v>583.52</v>
      </c>
      <c r="W14" s="67">
        <v>1398.72</v>
      </c>
      <c r="X14" s="68">
        <v>2391.1800000000003</v>
      </c>
      <c r="Y14" s="69"/>
      <c r="Z14" s="70">
        <v>699.21</v>
      </c>
      <c r="AA14" s="71">
        <v>357.89</v>
      </c>
      <c r="AB14" s="71">
        <v>727.68999999999994</v>
      </c>
      <c r="AC14" s="72">
        <v>1784.79</v>
      </c>
      <c r="AD14" s="69"/>
      <c r="AE14" s="70">
        <v>1538.75</v>
      </c>
      <c r="AF14" s="71">
        <v>362.84000000000003</v>
      </c>
      <c r="AG14" s="71">
        <v>289.60000000000002</v>
      </c>
      <c r="AH14" s="72">
        <v>2191.19</v>
      </c>
      <c r="AI14" s="69"/>
      <c r="AJ14" s="70"/>
      <c r="AK14" s="71"/>
      <c r="AL14" s="71"/>
      <c r="AM14" s="72">
        <v>0</v>
      </c>
      <c r="AN14" s="69"/>
      <c r="AO14" s="450">
        <v>6367.16</v>
      </c>
    </row>
    <row r="15" spans="2:43" ht="16.5" hidden="1" thickBot="1" x14ac:dyDescent="0.3">
      <c r="B15" s="50" t="s">
        <v>48</v>
      </c>
      <c r="C15" s="76"/>
      <c r="D15" s="52">
        <v>101397.77</v>
      </c>
      <c r="E15" s="52">
        <v>120005.18</v>
      </c>
      <c r="F15" s="52">
        <v>261273.44</v>
      </c>
      <c r="G15" s="53"/>
      <c r="H15" s="73">
        <v>324000</v>
      </c>
      <c r="I15" s="78">
        <v>217080</v>
      </c>
      <c r="J15" s="79">
        <v>106920</v>
      </c>
      <c r="K15" s="57"/>
      <c r="L15" s="58"/>
      <c r="M15" s="59"/>
      <c r="N15" s="60"/>
      <c r="O15" s="61">
        <v>0</v>
      </c>
      <c r="P15" s="61">
        <v>324000</v>
      </c>
      <c r="Q15" s="62">
        <v>233081.99000000002</v>
      </c>
      <c r="R15" s="63">
        <v>0.71938885802469144</v>
      </c>
      <c r="S15" s="62">
        <v>90918.00999999998</v>
      </c>
      <c r="T15" s="64"/>
      <c r="U15" s="65">
        <v>49098.97</v>
      </c>
      <c r="V15" s="66">
        <v>26812.47</v>
      </c>
      <c r="W15" s="67">
        <v>27272.16</v>
      </c>
      <c r="X15" s="68">
        <v>103183.6</v>
      </c>
      <c r="Y15" s="69"/>
      <c r="Z15" s="70">
        <v>26867.699999999997</v>
      </c>
      <c r="AA15" s="71">
        <v>25575.86</v>
      </c>
      <c r="AB15" s="71">
        <v>21185.98</v>
      </c>
      <c r="AC15" s="72">
        <v>73629.539999999994</v>
      </c>
      <c r="AD15" s="69"/>
      <c r="AE15" s="70">
        <v>19011.259999999998</v>
      </c>
      <c r="AF15" s="71">
        <v>18010.32</v>
      </c>
      <c r="AG15" s="71">
        <v>19247.270000000004</v>
      </c>
      <c r="AH15" s="72">
        <v>56268.850000000006</v>
      </c>
      <c r="AI15" s="69"/>
      <c r="AJ15" s="70"/>
      <c r="AK15" s="71"/>
      <c r="AL15" s="71"/>
      <c r="AM15" s="72">
        <v>0</v>
      </c>
      <c r="AN15" s="69"/>
      <c r="AO15" s="450">
        <v>233081.99000000002</v>
      </c>
    </row>
    <row r="16" spans="2:43" ht="16.5" hidden="1" thickBot="1" x14ac:dyDescent="0.3">
      <c r="B16" s="50" t="s">
        <v>49</v>
      </c>
      <c r="C16" s="51"/>
      <c r="D16" s="52">
        <v>23226.36</v>
      </c>
      <c r="E16" s="52">
        <v>50000</v>
      </c>
      <c r="F16" s="52">
        <v>59000</v>
      </c>
      <c r="G16" s="53"/>
      <c r="H16" s="73">
        <v>50000</v>
      </c>
      <c r="I16" s="65">
        <v>33500</v>
      </c>
      <c r="J16" s="67">
        <v>16500</v>
      </c>
      <c r="K16" s="57"/>
      <c r="L16" s="58"/>
      <c r="M16" s="59">
        <v>24912.05</v>
      </c>
      <c r="N16" s="60"/>
      <c r="O16" s="61">
        <v>24912.05</v>
      </c>
      <c r="P16" s="61">
        <v>74912.05</v>
      </c>
      <c r="Q16" s="62">
        <v>64709.78</v>
      </c>
      <c r="R16" s="63">
        <v>0.86381002789270878</v>
      </c>
      <c r="S16" s="62">
        <v>10202.270000000004</v>
      </c>
      <c r="T16" s="64"/>
      <c r="U16" s="65">
        <v>11566.16</v>
      </c>
      <c r="V16" s="66">
        <v>5884.51</v>
      </c>
      <c r="W16" s="67">
        <v>15741.08</v>
      </c>
      <c r="X16" s="68">
        <v>33191.75</v>
      </c>
      <c r="Y16" s="69"/>
      <c r="Z16" s="70">
        <v>8341.34</v>
      </c>
      <c r="AA16" s="71">
        <v>5908.18</v>
      </c>
      <c r="AB16" s="71">
        <v>1831.1</v>
      </c>
      <c r="AC16" s="72">
        <v>16080.62</v>
      </c>
      <c r="AD16" s="69"/>
      <c r="AE16" s="70">
        <v>1552</v>
      </c>
      <c r="AF16" s="71">
        <v>6630.9400000000005</v>
      </c>
      <c r="AG16" s="71">
        <v>7254.4699999999993</v>
      </c>
      <c r="AH16" s="72">
        <v>15437.41</v>
      </c>
      <c r="AI16" s="69"/>
      <c r="AJ16" s="70"/>
      <c r="AK16" s="71"/>
      <c r="AL16" s="71"/>
      <c r="AM16" s="72">
        <v>0</v>
      </c>
      <c r="AN16" s="69"/>
      <c r="AO16" s="450">
        <v>64709.78</v>
      </c>
    </row>
    <row r="17" spans="2:41" ht="7.9" customHeight="1" thickBot="1" x14ac:dyDescent="0.3">
      <c r="B17" s="50"/>
      <c r="C17" s="51"/>
      <c r="D17" s="52"/>
      <c r="E17" s="52"/>
      <c r="F17" s="52"/>
      <c r="G17" s="53"/>
      <c r="H17" s="73"/>
      <c r="I17" s="65"/>
      <c r="J17" s="67"/>
      <c r="K17" s="57"/>
      <c r="L17" s="58"/>
      <c r="M17" s="59"/>
      <c r="N17" s="60"/>
      <c r="O17" s="61"/>
      <c r="P17" s="61"/>
      <c r="Q17" s="62"/>
      <c r="R17" s="63"/>
      <c r="S17" s="62"/>
      <c r="T17" s="64"/>
      <c r="U17" s="65"/>
      <c r="V17" s="66"/>
      <c r="W17" s="67"/>
      <c r="X17" s="68"/>
      <c r="Y17" s="69"/>
      <c r="Z17" s="70"/>
      <c r="AA17" s="71"/>
      <c r="AB17" s="71"/>
      <c r="AC17" s="72"/>
      <c r="AD17" s="69"/>
      <c r="AE17" s="70"/>
      <c r="AF17" s="71"/>
      <c r="AG17" s="71"/>
      <c r="AH17" s="72"/>
      <c r="AI17" s="69"/>
      <c r="AJ17" s="70"/>
      <c r="AK17" s="71"/>
      <c r="AL17" s="71"/>
      <c r="AM17" s="72"/>
      <c r="AN17" s="69"/>
      <c r="AO17" s="451"/>
    </row>
    <row r="18" spans="2:41" ht="16.5" thickBot="1" x14ac:dyDescent="0.3">
      <c r="B18" s="449" t="s">
        <v>50</v>
      </c>
      <c r="C18" s="76"/>
      <c r="D18" s="80"/>
      <c r="E18" s="80"/>
      <c r="F18" s="80"/>
      <c r="G18" s="53"/>
      <c r="H18" s="514">
        <v>17700</v>
      </c>
      <c r="I18" s="55">
        <v>11859</v>
      </c>
      <c r="J18" s="56">
        <v>5841</v>
      </c>
      <c r="K18" s="57">
        <v>0</v>
      </c>
      <c r="L18" s="58">
        <v>0</v>
      </c>
      <c r="M18" s="59">
        <v>7500</v>
      </c>
      <c r="N18" s="60">
        <v>-2000</v>
      </c>
      <c r="O18" s="515">
        <v>5500</v>
      </c>
      <c r="P18" s="515">
        <v>23200</v>
      </c>
      <c r="Q18" s="516">
        <v>23659.17</v>
      </c>
      <c r="R18" s="517">
        <v>1.0197918103448276</v>
      </c>
      <c r="S18" s="516">
        <v>-459.16999999999871</v>
      </c>
      <c r="T18" s="64"/>
      <c r="U18" s="62">
        <v>0</v>
      </c>
      <c r="V18" s="62">
        <v>0</v>
      </c>
      <c r="W18" s="62">
        <v>0</v>
      </c>
      <c r="X18" s="516">
        <v>7410.2199999999993</v>
      </c>
      <c r="Y18" s="69"/>
      <c r="Z18" s="62">
        <v>1256.8499999999999</v>
      </c>
      <c r="AA18" s="62">
        <v>0</v>
      </c>
      <c r="AB18" s="62">
        <v>0</v>
      </c>
      <c r="AC18" s="516">
        <v>5021.32</v>
      </c>
      <c r="AD18" s="69"/>
      <c r="AE18" s="516">
        <v>4528.49</v>
      </c>
      <c r="AF18" s="516">
        <v>658.05000000000007</v>
      </c>
      <c r="AG18" s="516">
        <v>6041.09</v>
      </c>
      <c r="AH18" s="516">
        <v>11227.630000000001</v>
      </c>
      <c r="AI18" s="69"/>
      <c r="AJ18" s="62">
        <v>0</v>
      </c>
      <c r="AK18" s="62">
        <v>0</v>
      </c>
      <c r="AL18" s="62">
        <v>0</v>
      </c>
      <c r="AM18" s="62">
        <v>0</v>
      </c>
      <c r="AN18" s="69"/>
      <c r="AO18" s="518">
        <v>23659.17</v>
      </c>
    </row>
    <row r="19" spans="2:41" ht="16.5" hidden="1" thickBot="1" x14ac:dyDescent="0.3">
      <c r="B19" s="81" t="s">
        <v>51</v>
      </c>
      <c r="C19" s="76"/>
      <c r="D19" s="52">
        <v>27777.02</v>
      </c>
      <c r="E19" s="52">
        <v>22500</v>
      </c>
      <c r="F19" s="52">
        <v>1200</v>
      </c>
      <c r="G19" s="53"/>
      <c r="H19" s="73">
        <v>2000</v>
      </c>
      <c r="I19" s="65">
        <v>1340</v>
      </c>
      <c r="J19" s="67">
        <v>660</v>
      </c>
      <c r="K19" s="57"/>
      <c r="L19" s="58"/>
      <c r="M19" s="59"/>
      <c r="N19" s="60"/>
      <c r="O19" s="61">
        <v>0</v>
      </c>
      <c r="P19" s="61">
        <v>2000</v>
      </c>
      <c r="Q19" s="62">
        <v>1356.6</v>
      </c>
      <c r="R19" s="63">
        <v>0.6782999999999999</v>
      </c>
      <c r="S19" s="62">
        <v>643.40000000000009</v>
      </c>
      <c r="T19" s="64"/>
      <c r="U19" s="65"/>
      <c r="V19" s="66"/>
      <c r="W19" s="67"/>
      <c r="X19" s="68">
        <v>0</v>
      </c>
      <c r="Y19" s="69"/>
      <c r="Z19" s="70">
        <v>1256.8499999999999</v>
      </c>
      <c r="AA19" s="71"/>
      <c r="AB19" s="71"/>
      <c r="AC19" s="72">
        <v>1256.8499999999999</v>
      </c>
      <c r="AD19" s="69"/>
      <c r="AE19" s="70"/>
      <c r="AF19" s="71"/>
      <c r="AG19" s="71">
        <v>99.75</v>
      </c>
      <c r="AH19" s="72">
        <v>99.75</v>
      </c>
      <c r="AI19" s="69"/>
      <c r="AJ19" s="70"/>
      <c r="AK19" s="71"/>
      <c r="AL19" s="71"/>
      <c r="AM19" s="72">
        <v>0</v>
      </c>
      <c r="AN19" s="69"/>
      <c r="AO19" s="450">
        <v>1356.6</v>
      </c>
    </row>
    <row r="20" spans="2:41" ht="16.5" hidden="1" thickBot="1" x14ac:dyDescent="0.3">
      <c r="B20" s="50" t="s">
        <v>52</v>
      </c>
      <c r="C20" s="76"/>
      <c r="D20" s="52"/>
      <c r="E20" s="52">
        <v>7633.55</v>
      </c>
      <c r="F20" s="52">
        <v>5800</v>
      </c>
      <c r="G20" s="53"/>
      <c r="H20" s="73">
        <v>6000</v>
      </c>
      <c r="I20" s="65">
        <v>4020.0000000000005</v>
      </c>
      <c r="J20" s="67">
        <v>1980</v>
      </c>
      <c r="K20" s="57"/>
      <c r="L20" s="58"/>
      <c r="M20" s="59">
        <v>10000</v>
      </c>
      <c r="N20" s="60">
        <v>-4000</v>
      </c>
      <c r="O20" s="61">
        <v>6000</v>
      </c>
      <c r="P20" s="61">
        <v>12000</v>
      </c>
      <c r="Q20" s="62">
        <v>9528.3599999999988</v>
      </c>
      <c r="R20" s="63">
        <v>0.7940299999999999</v>
      </c>
      <c r="S20" s="62">
        <v>2471.6400000000012</v>
      </c>
      <c r="T20" s="64"/>
      <c r="U20" s="65">
        <v>3739.0099999999998</v>
      </c>
      <c r="V20" s="66">
        <v>1202.3399999999999</v>
      </c>
      <c r="W20" s="67">
        <v>1009.47</v>
      </c>
      <c r="X20" s="68">
        <v>5950.82</v>
      </c>
      <c r="Y20" s="69"/>
      <c r="Z20" s="70"/>
      <c r="AA20" s="71">
        <v>90.149999999999991</v>
      </c>
      <c r="AB20" s="71">
        <v>558.08000000000004</v>
      </c>
      <c r="AC20" s="72">
        <v>648.23</v>
      </c>
      <c r="AD20" s="69"/>
      <c r="AE20" s="70">
        <v>411.21999999999997</v>
      </c>
      <c r="AF20" s="71">
        <v>100.6</v>
      </c>
      <c r="AG20" s="71">
        <v>2417.4899999999998</v>
      </c>
      <c r="AH20" s="72">
        <v>2929.3099999999995</v>
      </c>
      <c r="AI20" s="69"/>
      <c r="AJ20" s="70"/>
      <c r="AK20" s="71"/>
      <c r="AL20" s="71"/>
      <c r="AM20" s="72">
        <v>0</v>
      </c>
      <c r="AN20" s="69"/>
      <c r="AO20" s="450">
        <v>9528.3599999999988</v>
      </c>
    </row>
    <row r="21" spans="2:41" ht="16.5" hidden="1" thickBot="1" x14ac:dyDescent="0.3">
      <c r="B21" s="50" t="s">
        <v>53</v>
      </c>
      <c r="C21" s="76"/>
      <c r="D21" s="52"/>
      <c r="E21" s="52">
        <v>3569.69</v>
      </c>
      <c r="F21" s="52">
        <v>2100</v>
      </c>
      <c r="G21" s="53"/>
      <c r="H21" s="73">
        <v>2200</v>
      </c>
      <c r="I21" s="65">
        <v>1474</v>
      </c>
      <c r="J21" s="67">
        <v>726</v>
      </c>
      <c r="K21" s="57"/>
      <c r="L21" s="58"/>
      <c r="M21" s="59"/>
      <c r="N21" s="60"/>
      <c r="O21" s="61">
        <v>0</v>
      </c>
      <c r="P21" s="61">
        <v>2200</v>
      </c>
      <c r="Q21" s="62">
        <v>3246.46</v>
      </c>
      <c r="R21" s="63">
        <v>1.4756636363636364</v>
      </c>
      <c r="S21" s="62">
        <v>-1046.46</v>
      </c>
      <c r="T21" s="64"/>
      <c r="U21" s="65">
        <v>657.75</v>
      </c>
      <c r="V21" s="66">
        <v>-200</v>
      </c>
      <c r="W21" s="67"/>
      <c r="X21" s="68">
        <v>457.75</v>
      </c>
      <c r="Y21" s="69"/>
      <c r="Z21" s="70"/>
      <c r="AA21" s="71">
        <v>251.75</v>
      </c>
      <c r="AB21" s="71">
        <v>291.19</v>
      </c>
      <c r="AC21" s="72">
        <v>542.94000000000005</v>
      </c>
      <c r="AD21" s="69"/>
      <c r="AE21" s="70">
        <v>21.67</v>
      </c>
      <c r="AF21" s="71"/>
      <c r="AG21" s="71">
        <v>2224.1</v>
      </c>
      <c r="AH21" s="72">
        <v>2245.77</v>
      </c>
      <c r="AI21" s="69"/>
      <c r="AJ21" s="70"/>
      <c r="AK21" s="71"/>
      <c r="AL21" s="71"/>
      <c r="AM21" s="72">
        <v>0</v>
      </c>
      <c r="AN21" s="69"/>
      <c r="AO21" s="450">
        <v>3246.46</v>
      </c>
    </row>
    <row r="22" spans="2:41" ht="16.5" hidden="1" thickBot="1" x14ac:dyDescent="0.3">
      <c r="B22" s="81" t="s">
        <v>54</v>
      </c>
      <c r="C22" s="76"/>
      <c r="D22" s="52"/>
      <c r="E22" s="52">
        <v>2200</v>
      </c>
      <c r="F22" s="52">
        <v>0</v>
      </c>
      <c r="G22" s="53"/>
      <c r="H22" s="73">
        <v>0</v>
      </c>
      <c r="I22" s="65">
        <v>0</v>
      </c>
      <c r="J22" s="67">
        <v>0</v>
      </c>
      <c r="K22" s="57"/>
      <c r="L22" s="58"/>
      <c r="M22" s="59"/>
      <c r="N22" s="60"/>
      <c r="O22" s="61">
        <v>0</v>
      </c>
      <c r="P22" s="61">
        <v>0</v>
      </c>
      <c r="Q22" s="62">
        <v>2880.25</v>
      </c>
      <c r="R22" s="63">
        <v>0</v>
      </c>
      <c r="S22" s="62">
        <v>-2880.25</v>
      </c>
      <c r="T22" s="64"/>
      <c r="U22" s="65"/>
      <c r="V22" s="66"/>
      <c r="W22" s="67"/>
      <c r="X22" s="68">
        <v>0</v>
      </c>
      <c r="Y22" s="69"/>
      <c r="Z22" s="70"/>
      <c r="AA22" s="71"/>
      <c r="AB22" s="71"/>
      <c r="AC22" s="72">
        <v>0</v>
      </c>
      <c r="AD22" s="69"/>
      <c r="AE22" s="70">
        <v>2880.25</v>
      </c>
      <c r="AF22" s="71"/>
      <c r="AG22" s="71"/>
      <c r="AH22" s="72">
        <v>2880.25</v>
      </c>
      <c r="AI22" s="69"/>
      <c r="AJ22" s="70"/>
      <c r="AK22" s="71"/>
      <c r="AL22" s="71"/>
      <c r="AM22" s="72">
        <v>0</v>
      </c>
      <c r="AN22" s="69"/>
      <c r="AO22" s="450">
        <v>2880.25</v>
      </c>
    </row>
    <row r="23" spans="2:41" ht="16.5" hidden="1" thickBot="1" x14ac:dyDescent="0.3">
      <c r="B23" s="50" t="s">
        <v>55</v>
      </c>
      <c r="C23" s="51"/>
      <c r="D23" s="52">
        <v>10117.08</v>
      </c>
      <c r="E23" s="52">
        <v>19077.34</v>
      </c>
      <c r="F23" s="52">
        <v>8800</v>
      </c>
      <c r="G23" s="53"/>
      <c r="H23" s="73">
        <v>7500</v>
      </c>
      <c r="I23" s="65">
        <v>5025</v>
      </c>
      <c r="J23" s="67">
        <v>2475</v>
      </c>
      <c r="K23" s="57"/>
      <c r="L23" s="58"/>
      <c r="M23" s="59">
        <v>-2500</v>
      </c>
      <c r="N23" s="60">
        <v>2000</v>
      </c>
      <c r="O23" s="61">
        <v>-500</v>
      </c>
      <c r="P23" s="61">
        <v>7000</v>
      </c>
      <c r="Q23" s="62">
        <v>6647.5</v>
      </c>
      <c r="R23" s="63">
        <v>0.94964285714285712</v>
      </c>
      <c r="S23" s="62">
        <v>352.5</v>
      </c>
      <c r="T23" s="64"/>
      <c r="U23" s="65">
        <v>630.86</v>
      </c>
      <c r="V23" s="66">
        <v>370.79</v>
      </c>
      <c r="W23" s="67"/>
      <c r="X23" s="68">
        <v>1001.6500000000001</v>
      </c>
      <c r="Y23" s="69"/>
      <c r="Z23" s="70">
        <v>952.01</v>
      </c>
      <c r="AA23" s="71">
        <v>655.43</v>
      </c>
      <c r="AB23" s="71">
        <v>965.86000000000013</v>
      </c>
      <c r="AC23" s="72">
        <v>2573.3000000000002</v>
      </c>
      <c r="AD23" s="69"/>
      <c r="AE23" s="70">
        <v>1215.3499999999999</v>
      </c>
      <c r="AF23" s="71">
        <v>557.45000000000005</v>
      </c>
      <c r="AG23" s="71">
        <v>1299.75</v>
      </c>
      <c r="AH23" s="72">
        <v>3072.55</v>
      </c>
      <c r="AI23" s="69"/>
      <c r="AJ23" s="70"/>
      <c r="AK23" s="71"/>
      <c r="AL23" s="71"/>
      <c r="AM23" s="72">
        <v>0</v>
      </c>
      <c r="AN23" s="69"/>
      <c r="AO23" s="450">
        <v>6647.5</v>
      </c>
    </row>
    <row r="24" spans="2:41" ht="7.9" customHeight="1" thickBot="1" x14ac:dyDescent="0.3">
      <c r="B24" s="50"/>
      <c r="C24" s="51"/>
      <c r="D24" s="52"/>
      <c r="E24" s="52"/>
      <c r="F24" s="52"/>
      <c r="G24" s="53"/>
      <c r="H24" s="73"/>
      <c r="I24" s="65"/>
      <c r="J24" s="67"/>
      <c r="K24" s="57"/>
      <c r="L24" s="58"/>
      <c r="M24" s="59"/>
      <c r="N24" s="60"/>
      <c r="O24" s="61"/>
      <c r="P24" s="61"/>
      <c r="Q24" s="62"/>
      <c r="R24" s="63"/>
      <c r="S24" s="62"/>
      <c r="T24" s="64"/>
      <c r="U24" s="65"/>
      <c r="V24" s="66"/>
      <c r="W24" s="67"/>
      <c r="X24" s="68"/>
      <c r="Y24" s="69"/>
      <c r="Z24" s="70"/>
      <c r="AA24" s="71"/>
      <c r="AB24" s="71"/>
      <c r="AC24" s="72"/>
      <c r="AD24" s="69"/>
      <c r="AE24" s="70"/>
      <c r="AF24" s="71"/>
      <c r="AG24" s="71"/>
      <c r="AH24" s="72"/>
      <c r="AI24" s="69"/>
      <c r="AJ24" s="70"/>
      <c r="AK24" s="71"/>
      <c r="AL24" s="71"/>
      <c r="AM24" s="72"/>
      <c r="AN24" s="69"/>
      <c r="AO24" s="451"/>
    </row>
    <row r="25" spans="2:41" ht="16.5" thickBot="1" x14ac:dyDescent="0.3">
      <c r="B25" s="449" t="s">
        <v>56</v>
      </c>
      <c r="C25" s="76"/>
      <c r="D25" s="80"/>
      <c r="E25" s="80"/>
      <c r="F25" s="80"/>
      <c r="G25" s="82"/>
      <c r="H25" s="514">
        <v>31795</v>
      </c>
      <c r="I25" s="55">
        <v>21302.65</v>
      </c>
      <c r="J25" s="56">
        <v>10492.35</v>
      </c>
      <c r="K25" s="57">
        <v>0</v>
      </c>
      <c r="L25" s="58">
        <v>0</v>
      </c>
      <c r="M25" s="59">
        <v>-11350</v>
      </c>
      <c r="N25" s="60">
        <v>0</v>
      </c>
      <c r="O25" s="515">
        <v>-11350</v>
      </c>
      <c r="P25" s="515">
        <v>20445</v>
      </c>
      <c r="Q25" s="516">
        <v>10025</v>
      </c>
      <c r="R25" s="517">
        <v>0.49033993641477136</v>
      </c>
      <c r="S25" s="516">
        <v>10420</v>
      </c>
      <c r="T25" s="64"/>
      <c r="U25" s="62">
        <v>0</v>
      </c>
      <c r="V25" s="62">
        <v>0</v>
      </c>
      <c r="W25" s="62">
        <v>0</v>
      </c>
      <c r="X25" s="516">
        <v>0</v>
      </c>
      <c r="Y25" s="69"/>
      <c r="Z25" s="62">
        <v>186.5</v>
      </c>
      <c r="AA25" s="62">
        <v>0</v>
      </c>
      <c r="AB25" s="62">
        <v>0</v>
      </c>
      <c r="AC25" s="516">
        <v>10025</v>
      </c>
      <c r="AD25" s="69"/>
      <c r="AE25" s="516">
        <v>0</v>
      </c>
      <c r="AF25" s="516">
        <v>0</v>
      </c>
      <c r="AG25" s="516">
        <v>0</v>
      </c>
      <c r="AH25" s="516">
        <v>0</v>
      </c>
      <c r="AI25" s="69"/>
      <c r="AJ25" s="62">
        <v>0</v>
      </c>
      <c r="AK25" s="62">
        <v>0</v>
      </c>
      <c r="AL25" s="62">
        <v>0</v>
      </c>
      <c r="AM25" s="62">
        <v>0</v>
      </c>
      <c r="AN25" s="69"/>
      <c r="AO25" s="518">
        <v>10025</v>
      </c>
    </row>
    <row r="26" spans="2:41" ht="16.5" hidden="1" thickBot="1" x14ac:dyDescent="0.3">
      <c r="B26" s="50" t="s">
        <v>57</v>
      </c>
      <c r="C26" s="76"/>
      <c r="D26" s="52">
        <v>1658.23</v>
      </c>
      <c r="E26" s="52">
        <v>3640</v>
      </c>
      <c r="F26" s="52">
        <v>508</v>
      </c>
      <c r="G26" s="53"/>
      <c r="H26" s="73">
        <v>373</v>
      </c>
      <c r="I26" s="65">
        <v>249.91000000000003</v>
      </c>
      <c r="J26" s="67">
        <v>123.09</v>
      </c>
      <c r="K26" s="57"/>
      <c r="L26" s="58"/>
      <c r="M26" s="59"/>
      <c r="N26" s="60"/>
      <c r="O26" s="61">
        <v>0</v>
      </c>
      <c r="P26" s="61">
        <v>373</v>
      </c>
      <c r="Q26" s="62">
        <v>186.5</v>
      </c>
      <c r="R26" s="63">
        <v>0.5</v>
      </c>
      <c r="S26" s="62">
        <v>186.5</v>
      </c>
      <c r="T26" s="64"/>
      <c r="U26" s="65"/>
      <c r="V26" s="66"/>
      <c r="W26" s="67"/>
      <c r="X26" s="68">
        <v>0</v>
      </c>
      <c r="Y26" s="69"/>
      <c r="Z26" s="70">
        <v>186.5</v>
      </c>
      <c r="AA26" s="71"/>
      <c r="AB26" s="71"/>
      <c r="AC26" s="72">
        <v>186.5</v>
      </c>
      <c r="AD26" s="69"/>
      <c r="AE26" s="70"/>
      <c r="AF26" s="71"/>
      <c r="AG26" s="71"/>
      <c r="AH26" s="72">
        <v>0</v>
      </c>
      <c r="AI26" s="69"/>
      <c r="AJ26" s="70"/>
      <c r="AK26" s="71"/>
      <c r="AL26" s="71"/>
      <c r="AM26" s="72">
        <v>0</v>
      </c>
      <c r="AN26" s="69"/>
      <c r="AO26" s="450">
        <v>186.5</v>
      </c>
    </row>
    <row r="27" spans="2:41" ht="16.5" hidden="1" thickBot="1" x14ac:dyDescent="0.3">
      <c r="B27" s="50" t="s">
        <v>58</v>
      </c>
      <c r="C27" s="76"/>
      <c r="D27" s="52"/>
      <c r="E27" s="52"/>
      <c r="F27" s="52"/>
      <c r="H27" s="73">
        <v>733</v>
      </c>
      <c r="I27" s="65">
        <v>491.11</v>
      </c>
      <c r="J27" s="67">
        <v>241.89000000000001</v>
      </c>
      <c r="K27" s="57"/>
      <c r="L27" s="58"/>
      <c r="M27" s="59"/>
      <c r="N27" s="60"/>
      <c r="O27" s="61">
        <v>0</v>
      </c>
      <c r="P27" s="61">
        <v>733</v>
      </c>
      <c r="Q27" s="62">
        <v>366.5</v>
      </c>
      <c r="R27" s="63">
        <v>0.5</v>
      </c>
      <c r="S27" s="62">
        <v>366.5</v>
      </c>
      <c r="T27" s="64"/>
      <c r="U27" s="65"/>
      <c r="V27" s="66"/>
      <c r="W27" s="67"/>
      <c r="X27" s="68">
        <v>0</v>
      </c>
      <c r="Y27" s="69"/>
      <c r="Z27" s="70">
        <v>366.5</v>
      </c>
      <c r="AA27" s="71"/>
      <c r="AB27" s="71"/>
      <c r="AC27" s="72">
        <v>366.5</v>
      </c>
      <c r="AD27" s="69"/>
      <c r="AE27" s="70"/>
      <c r="AF27" s="71"/>
      <c r="AG27" s="71"/>
      <c r="AH27" s="72">
        <v>0</v>
      </c>
      <c r="AI27" s="69"/>
      <c r="AJ27" s="70"/>
      <c r="AK27" s="71"/>
      <c r="AL27" s="71"/>
      <c r="AM27" s="72">
        <v>0</v>
      </c>
      <c r="AN27" s="69"/>
      <c r="AO27" s="450">
        <v>366.5</v>
      </c>
    </row>
    <row r="28" spans="2:41" ht="16.5" hidden="1" thickBot="1" x14ac:dyDescent="0.3">
      <c r="B28" s="50" t="s">
        <v>59</v>
      </c>
      <c r="C28" s="76"/>
      <c r="D28" s="52"/>
      <c r="E28" s="52"/>
      <c r="F28" s="52"/>
      <c r="G28" s="53"/>
      <c r="H28" s="73">
        <v>8797</v>
      </c>
      <c r="I28" s="65">
        <v>5893.9900000000007</v>
      </c>
      <c r="J28" s="67">
        <v>2903.01</v>
      </c>
      <c r="K28" s="57"/>
      <c r="L28" s="58"/>
      <c r="M28" s="59">
        <v>-521</v>
      </c>
      <c r="N28" s="60"/>
      <c r="O28" s="61">
        <v>-521</v>
      </c>
      <c r="P28" s="61">
        <v>8276</v>
      </c>
      <c r="Q28" s="62">
        <v>4138</v>
      </c>
      <c r="R28" s="63">
        <v>0.5</v>
      </c>
      <c r="S28" s="62">
        <v>4138</v>
      </c>
      <c r="T28" s="64"/>
      <c r="U28" s="65"/>
      <c r="V28" s="66"/>
      <c r="W28" s="67"/>
      <c r="X28" s="68">
        <v>0</v>
      </c>
      <c r="Y28" s="69"/>
      <c r="Z28" s="70">
        <v>4138</v>
      </c>
      <c r="AA28" s="71"/>
      <c r="AB28" s="71"/>
      <c r="AC28" s="72">
        <v>4138</v>
      </c>
      <c r="AD28" s="69"/>
      <c r="AE28" s="70"/>
      <c r="AF28" s="71"/>
      <c r="AG28" s="71"/>
      <c r="AH28" s="72">
        <v>0</v>
      </c>
      <c r="AI28" s="69"/>
      <c r="AJ28" s="70"/>
      <c r="AK28" s="71"/>
      <c r="AL28" s="71"/>
      <c r="AM28" s="72">
        <v>0</v>
      </c>
      <c r="AN28" s="69"/>
      <c r="AO28" s="450">
        <v>4138</v>
      </c>
    </row>
    <row r="29" spans="2:41" ht="16.5" hidden="1" thickBot="1" x14ac:dyDescent="0.3">
      <c r="B29" s="50" t="s">
        <v>60</v>
      </c>
      <c r="C29" s="76"/>
      <c r="D29" s="52">
        <v>12622</v>
      </c>
      <c r="E29" s="52">
        <v>83500</v>
      </c>
      <c r="F29" s="52"/>
      <c r="G29" s="53"/>
      <c r="H29" s="73">
        <v>395</v>
      </c>
      <c r="I29" s="65">
        <v>264.65000000000003</v>
      </c>
      <c r="J29" s="67">
        <v>130.35</v>
      </c>
      <c r="K29" s="57"/>
      <c r="L29" s="58"/>
      <c r="M29" s="59"/>
      <c r="N29" s="60"/>
      <c r="O29" s="61">
        <v>0</v>
      </c>
      <c r="P29" s="61">
        <v>395</v>
      </c>
      <c r="Q29" s="62">
        <v>0</v>
      </c>
      <c r="R29" s="63">
        <v>0</v>
      </c>
      <c r="S29" s="62">
        <v>395</v>
      </c>
      <c r="T29" s="64"/>
      <c r="U29" s="65"/>
      <c r="V29" s="66"/>
      <c r="W29" s="67"/>
      <c r="X29" s="68">
        <v>0</v>
      </c>
      <c r="Y29" s="69"/>
      <c r="Z29" s="70"/>
      <c r="AA29" s="71"/>
      <c r="AB29" s="71"/>
      <c r="AC29" s="72">
        <v>0</v>
      </c>
      <c r="AD29" s="69"/>
      <c r="AE29" s="70"/>
      <c r="AF29" s="71"/>
      <c r="AG29" s="71"/>
      <c r="AH29" s="72">
        <v>0</v>
      </c>
      <c r="AI29" s="69"/>
      <c r="AJ29" s="70"/>
      <c r="AK29" s="71"/>
      <c r="AL29" s="71"/>
      <c r="AM29" s="72">
        <v>0</v>
      </c>
      <c r="AN29" s="69"/>
      <c r="AO29" s="450">
        <v>0</v>
      </c>
    </row>
    <row r="30" spans="2:41" ht="16.5" hidden="1" thickBot="1" x14ac:dyDescent="0.3">
      <c r="B30" s="50" t="s">
        <v>61</v>
      </c>
      <c r="C30" s="76"/>
      <c r="D30" s="52">
        <v>21497</v>
      </c>
      <c r="E30" s="52">
        <v>33598</v>
      </c>
      <c r="F30" s="52">
        <v>15099</v>
      </c>
      <c r="G30" s="53"/>
      <c r="H30" s="68">
        <v>21497</v>
      </c>
      <c r="I30" s="65">
        <v>14402.990000000002</v>
      </c>
      <c r="J30" s="67">
        <v>7094.01</v>
      </c>
      <c r="K30" s="57"/>
      <c r="L30" s="58"/>
      <c r="M30" s="59">
        <v>-10829</v>
      </c>
      <c r="N30" s="60"/>
      <c r="O30" s="61">
        <v>-10829</v>
      </c>
      <c r="P30" s="61">
        <v>10668</v>
      </c>
      <c r="Q30" s="62">
        <v>5334</v>
      </c>
      <c r="R30" s="63">
        <v>0.5</v>
      </c>
      <c r="S30" s="62">
        <v>5334</v>
      </c>
      <c r="T30" s="64"/>
      <c r="U30" s="65"/>
      <c r="V30" s="66"/>
      <c r="W30" s="67"/>
      <c r="X30" s="68">
        <v>0</v>
      </c>
      <c r="Y30" s="69"/>
      <c r="Z30" s="70">
        <v>5334</v>
      </c>
      <c r="AA30" s="71"/>
      <c r="AB30" s="71"/>
      <c r="AC30" s="72">
        <v>5334</v>
      </c>
      <c r="AD30" s="69"/>
      <c r="AE30" s="70"/>
      <c r="AF30" s="71"/>
      <c r="AG30" s="71"/>
      <c r="AH30" s="72">
        <v>0</v>
      </c>
      <c r="AI30" s="69"/>
      <c r="AJ30" s="70"/>
      <c r="AK30" s="71"/>
      <c r="AL30" s="71"/>
      <c r="AM30" s="72">
        <v>0</v>
      </c>
      <c r="AN30" s="69"/>
      <c r="AO30" s="450">
        <v>5334</v>
      </c>
    </row>
    <row r="31" spans="2:41" ht="16.5" hidden="1" thickBot="1" x14ac:dyDescent="0.3">
      <c r="B31" s="50" t="s">
        <v>62</v>
      </c>
      <c r="C31" s="76"/>
      <c r="D31" s="52"/>
      <c r="E31" s="52"/>
      <c r="F31" s="52">
        <v>12266.65</v>
      </c>
      <c r="G31" s="53"/>
      <c r="H31" s="73">
        <v>0</v>
      </c>
      <c r="I31" s="78">
        <v>0</v>
      </c>
      <c r="J31" s="79">
        <v>0</v>
      </c>
      <c r="K31" s="57"/>
      <c r="L31" s="58"/>
      <c r="M31" s="59"/>
      <c r="N31" s="60"/>
      <c r="O31" s="61">
        <v>0</v>
      </c>
      <c r="P31" s="61">
        <v>0</v>
      </c>
      <c r="Q31" s="62">
        <v>0</v>
      </c>
      <c r="R31" s="63">
        <v>0</v>
      </c>
      <c r="S31" s="62">
        <v>0</v>
      </c>
      <c r="T31" s="64"/>
      <c r="U31" s="65"/>
      <c r="V31" s="66"/>
      <c r="W31" s="67"/>
      <c r="X31" s="68">
        <v>0</v>
      </c>
      <c r="Y31" s="69"/>
      <c r="Z31" s="70"/>
      <c r="AA31" s="71"/>
      <c r="AB31" s="71"/>
      <c r="AC31" s="72">
        <v>0</v>
      </c>
      <c r="AD31" s="69"/>
      <c r="AE31" s="70"/>
      <c r="AF31" s="71"/>
      <c r="AG31" s="71"/>
      <c r="AH31" s="72">
        <v>0</v>
      </c>
      <c r="AI31" s="69"/>
      <c r="AJ31" s="70"/>
      <c r="AK31" s="71"/>
      <c r="AL31" s="71"/>
      <c r="AM31" s="72">
        <v>0</v>
      </c>
      <c r="AN31" s="69"/>
      <c r="AO31" s="450">
        <v>0</v>
      </c>
    </row>
    <row r="32" spans="2:41" ht="7.9" customHeight="1" thickBot="1" x14ac:dyDescent="0.3">
      <c r="B32" s="50"/>
      <c r="C32" s="76"/>
      <c r="D32" s="52"/>
      <c r="E32" s="52"/>
      <c r="F32" s="52"/>
      <c r="G32" s="53"/>
      <c r="H32" s="73"/>
      <c r="I32" s="78"/>
      <c r="J32" s="79"/>
      <c r="K32" s="57"/>
      <c r="L32" s="58"/>
      <c r="M32" s="59"/>
      <c r="N32" s="60"/>
      <c r="O32" s="61"/>
      <c r="P32" s="61"/>
      <c r="Q32" s="62"/>
      <c r="R32" s="63"/>
      <c r="S32" s="62"/>
      <c r="T32" s="64"/>
      <c r="U32" s="65"/>
      <c r="V32" s="66"/>
      <c r="W32" s="67"/>
      <c r="X32" s="68"/>
      <c r="Y32" s="69"/>
      <c r="Z32" s="70"/>
      <c r="AA32" s="71"/>
      <c r="AB32" s="71"/>
      <c r="AC32" s="72"/>
      <c r="AD32" s="69"/>
      <c r="AE32" s="70"/>
      <c r="AF32" s="71"/>
      <c r="AG32" s="71"/>
      <c r="AH32" s="72"/>
      <c r="AI32" s="69"/>
      <c r="AJ32" s="70"/>
      <c r="AK32" s="71"/>
      <c r="AL32" s="71"/>
      <c r="AM32" s="72"/>
      <c r="AN32" s="69"/>
      <c r="AO32" s="451"/>
    </row>
    <row r="33" spans="1:41" ht="16.5" thickBot="1" x14ac:dyDescent="0.3">
      <c r="B33" s="449" t="s">
        <v>63</v>
      </c>
      <c r="C33" s="76"/>
      <c r="D33" s="52"/>
      <c r="E33" s="52"/>
      <c r="F33" s="52"/>
      <c r="G33" s="82"/>
      <c r="H33" s="514">
        <v>5000</v>
      </c>
      <c r="I33" s="55">
        <v>3350</v>
      </c>
      <c r="J33" s="56">
        <v>1650</v>
      </c>
      <c r="K33" s="57">
        <v>0</v>
      </c>
      <c r="L33" s="58">
        <v>0</v>
      </c>
      <c r="M33" s="59">
        <v>3124.25</v>
      </c>
      <c r="N33" s="60">
        <v>6000</v>
      </c>
      <c r="O33" s="515">
        <v>9124.25</v>
      </c>
      <c r="P33" s="515">
        <v>14124.25</v>
      </c>
      <c r="Q33" s="516">
        <v>12155.41</v>
      </c>
      <c r="R33" s="517">
        <v>0.86060569587765723</v>
      </c>
      <c r="S33" s="516">
        <v>1968.8400000000001</v>
      </c>
      <c r="T33" s="64"/>
      <c r="U33" s="62">
        <v>0</v>
      </c>
      <c r="V33" s="62">
        <v>77.73</v>
      </c>
      <c r="W33" s="62">
        <v>46.52</v>
      </c>
      <c r="X33" s="516">
        <v>6862.15</v>
      </c>
      <c r="Y33" s="69"/>
      <c r="Z33" s="62">
        <v>0</v>
      </c>
      <c r="AA33" s="62">
        <v>0</v>
      </c>
      <c r="AB33" s="62">
        <v>1745.37</v>
      </c>
      <c r="AC33" s="516">
        <v>4182.8700000000008</v>
      </c>
      <c r="AD33" s="69"/>
      <c r="AE33" s="516">
        <v>981.48</v>
      </c>
      <c r="AF33" s="516">
        <v>32.26</v>
      </c>
      <c r="AG33" s="516">
        <v>96.65</v>
      </c>
      <c r="AH33" s="516">
        <v>1110.3900000000001</v>
      </c>
      <c r="AI33" s="69"/>
      <c r="AJ33" s="62">
        <v>0</v>
      </c>
      <c r="AK33" s="62">
        <v>0</v>
      </c>
      <c r="AL33" s="62">
        <v>0</v>
      </c>
      <c r="AM33" s="62">
        <v>0</v>
      </c>
      <c r="AN33" s="69"/>
      <c r="AO33" s="518">
        <v>12155.41</v>
      </c>
    </row>
    <row r="34" spans="1:41" ht="16.5" hidden="1" thickBot="1" x14ac:dyDescent="0.3">
      <c r="A34" s="83"/>
      <c r="B34" s="84" t="s">
        <v>64</v>
      </c>
      <c r="C34" s="85"/>
      <c r="D34" s="86"/>
      <c r="E34" s="86"/>
      <c r="F34" s="86">
        <v>8255</v>
      </c>
      <c r="G34" s="87"/>
      <c r="H34" s="88">
        <v>0</v>
      </c>
      <c r="I34" s="89">
        <v>0</v>
      </c>
      <c r="J34" s="90">
        <v>0</v>
      </c>
      <c r="K34" s="57"/>
      <c r="L34" s="58"/>
      <c r="M34" s="59">
        <v>124.25</v>
      </c>
      <c r="N34" s="60">
        <v>3000</v>
      </c>
      <c r="O34" s="60">
        <v>3124.25</v>
      </c>
      <c r="P34" s="60">
        <v>3124.25</v>
      </c>
      <c r="Q34" s="91">
        <v>2980.01</v>
      </c>
      <c r="R34" s="92">
        <v>0.95383211970873016</v>
      </c>
      <c r="S34" s="91">
        <v>144.23999999999978</v>
      </c>
      <c r="T34" s="93"/>
      <c r="U34" s="89"/>
      <c r="V34" s="94">
        <v>77.73</v>
      </c>
      <c r="W34" s="90">
        <v>46.52</v>
      </c>
      <c r="X34" s="60">
        <v>124.25</v>
      </c>
      <c r="Y34" s="95"/>
      <c r="Z34" s="96"/>
      <c r="AA34" s="97"/>
      <c r="AB34" s="97">
        <v>1745.37</v>
      </c>
      <c r="AC34" s="98">
        <v>1745.37</v>
      </c>
      <c r="AD34" s="95"/>
      <c r="AE34" s="96">
        <v>981.48</v>
      </c>
      <c r="AF34" s="97">
        <v>32.26</v>
      </c>
      <c r="AG34" s="97">
        <v>96.65</v>
      </c>
      <c r="AH34" s="98">
        <v>1110.3900000000001</v>
      </c>
      <c r="AI34" s="95"/>
      <c r="AJ34" s="96"/>
      <c r="AK34" s="97"/>
      <c r="AL34" s="97"/>
      <c r="AM34" s="98">
        <v>0</v>
      </c>
      <c r="AN34" s="95"/>
      <c r="AO34" s="452">
        <v>2980.01</v>
      </c>
    </row>
    <row r="35" spans="1:41" ht="16.5" hidden="1" thickBot="1" x14ac:dyDescent="0.3">
      <c r="A35" s="83"/>
      <c r="B35" s="84" t="s">
        <v>65</v>
      </c>
      <c r="C35" s="85"/>
      <c r="D35" s="86"/>
      <c r="E35" s="86"/>
      <c r="F35" s="86">
        <v>8255</v>
      </c>
      <c r="G35" s="87"/>
      <c r="H35" s="88">
        <v>0</v>
      </c>
      <c r="I35" s="89">
        <v>0</v>
      </c>
      <c r="J35" s="90">
        <v>0</v>
      </c>
      <c r="K35" s="57"/>
      <c r="L35" s="58"/>
      <c r="M35" s="59">
        <v>8000</v>
      </c>
      <c r="N35" s="60">
        <v>3000</v>
      </c>
      <c r="O35" s="60">
        <v>11000</v>
      </c>
      <c r="P35" s="60">
        <v>11000</v>
      </c>
      <c r="Q35" s="91">
        <v>9175.4</v>
      </c>
      <c r="R35" s="92">
        <v>0.83412727272727272</v>
      </c>
      <c r="S35" s="91">
        <v>1824.6000000000004</v>
      </c>
      <c r="T35" s="93"/>
      <c r="U35" s="89">
        <v>2502.5</v>
      </c>
      <c r="V35" s="94"/>
      <c r="W35" s="90"/>
      <c r="X35" s="60">
        <v>2502.5</v>
      </c>
      <c r="Y35" s="95"/>
      <c r="Z35" s="96"/>
      <c r="AA35" s="97">
        <v>2437.5</v>
      </c>
      <c r="AB35" s="97">
        <v>4235.3999999999996</v>
      </c>
      <c r="AC35" s="98">
        <v>6672.9</v>
      </c>
      <c r="AD35" s="95"/>
      <c r="AE35" s="96"/>
      <c r="AF35" s="97"/>
      <c r="AG35" s="97"/>
      <c r="AH35" s="98">
        <v>0</v>
      </c>
      <c r="AI35" s="95"/>
      <c r="AJ35" s="96"/>
      <c r="AK35" s="97"/>
      <c r="AL35" s="97"/>
      <c r="AM35" s="98">
        <v>0</v>
      </c>
      <c r="AN35" s="95"/>
      <c r="AO35" s="452">
        <v>9175.4</v>
      </c>
    </row>
    <row r="36" spans="1:41" ht="16.5" hidden="1" thickBot="1" x14ac:dyDescent="0.3">
      <c r="A36" s="83"/>
      <c r="B36" s="84" t="s">
        <v>66</v>
      </c>
      <c r="C36" s="85"/>
      <c r="D36" s="86"/>
      <c r="E36" s="86"/>
      <c r="F36" s="86">
        <v>8255</v>
      </c>
      <c r="G36" s="87"/>
      <c r="H36" s="88">
        <v>5000</v>
      </c>
      <c r="I36" s="89">
        <v>3350</v>
      </c>
      <c r="J36" s="90">
        <v>1650</v>
      </c>
      <c r="K36" s="57"/>
      <c r="L36" s="58"/>
      <c r="M36" s="59">
        <v>-5000</v>
      </c>
      <c r="N36" s="60"/>
      <c r="O36" s="60">
        <v>-5000</v>
      </c>
      <c r="P36" s="60">
        <v>0</v>
      </c>
      <c r="Q36" s="91">
        <v>0</v>
      </c>
      <c r="R36" s="92">
        <v>0</v>
      </c>
      <c r="S36" s="91">
        <v>0</v>
      </c>
      <c r="T36" s="93"/>
      <c r="U36" s="89">
        <v>4235.3999999999996</v>
      </c>
      <c r="V36" s="94"/>
      <c r="W36" s="90"/>
      <c r="X36" s="60">
        <v>4235.3999999999996</v>
      </c>
      <c r="Y36" s="95"/>
      <c r="Z36" s="96"/>
      <c r="AA36" s="97"/>
      <c r="AB36" s="97">
        <v>-4235.3999999999996</v>
      </c>
      <c r="AC36" s="98">
        <v>-4235.3999999999996</v>
      </c>
      <c r="AD36" s="95"/>
      <c r="AE36" s="96"/>
      <c r="AF36" s="97"/>
      <c r="AG36" s="97"/>
      <c r="AH36" s="98">
        <v>0</v>
      </c>
      <c r="AI36" s="95"/>
      <c r="AJ36" s="96"/>
      <c r="AK36" s="97"/>
      <c r="AL36" s="97"/>
      <c r="AM36" s="98">
        <v>0</v>
      </c>
      <c r="AN36" s="95"/>
      <c r="AO36" s="452">
        <v>0</v>
      </c>
    </row>
    <row r="37" spans="1:41" ht="7.9" customHeight="1" thickBot="1" x14ac:dyDescent="0.3">
      <c r="B37" s="50"/>
      <c r="C37" s="76"/>
      <c r="D37" s="52"/>
      <c r="E37" s="52"/>
      <c r="F37" s="52"/>
      <c r="G37" s="53"/>
      <c r="H37" s="73"/>
      <c r="I37" s="78"/>
      <c r="J37" s="79"/>
      <c r="K37" s="57"/>
      <c r="L37" s="58"/>
      <c r="M37" s="59"/>
      <c r="N37" s="60"/>
      <c r="O37" s="61"/>
      <c r="P37" s="61"/>
      <c r="Q37" s="62"/>
      <c r="R37" s="63"/>
      <c r="S37" s="62"/>
      <c r="T37" s="64"/>
      <c r="U37" s="65"/>
      <c r="V37" s="66"/>
      <c r="W37" s="67"/>
      <c r="X37" s="68"/>
      <c r="Y37" s="69"/>
      <c r="Z37" s="70"/>
      <c r="AA37" s="71"/>
      <c r="AB37" s="71"/>
      <c r="AC37" s="72"/>
      <c r="AD37" s="69"/>
      <c r="AE37" s="70"/>
      <c r="AF37" s="71"/>
      <c r="AG37" s="71"/>
      <c r="AH37" s="72"/>
      <c r="AI37" s="69"/>
      <c r="AJ37" s="70"/>
      <c r="AK37" s="71"/>
      <c r="AL37" s="71"/>
      <c r="AM37" s="72"/>
      <c r="AN37" s="69"/>
      <c r="AO37" s="451"/>
    </row>
    <row r="38" spans="1:41" ht="16.5" thickBot="1" x14ac:dyDescent="0.3">
      <c r="B38" s="449" t="s">
        <v>67</v>
      </c>
      <c r="C38" s="76"/>
      <c r="D38" s="80"/>
      <c r="E38" s="80"/>
      <c r="F38" s="80"/>
      <c r="G38" s="82"/>
      <c r="H38" s="514">
        <v>74400</v>
      </c>
      <c r="I38" s="55">
        <v>49169</v>
      </c>
      <c r="J38" s="56">
        <v>28531</v>
      </c>
      <c r="K38" s="57">
        <v>0</v>
      </c>
      <c r="L38" s="58">
        <v>0</v>
      </c>
      <c r="M38" s="59">
        <v>313.70000000000073</v>
      </c>
      <c r="N38" s="60">
        <v>-3528.8499999999985</v>
      </c>
      <c r="O38" s="515">
        <v>-3215.1499999999996</v>
      </c>
      <c r="P38" s="515">
        <v>71184.850000000006</v>
      </c>
      <c r="Q38" s="516">
        <v>45849.739999999991</v>
      </c>
      <c r="R38" s="517">
        <v>0.64409407338780633</v>
      </c>
      <c r="S38" s="516">
        <v>25335.11</v>
      </c>
      <c r="T38" s="64"/>
      <c r="U38" s="62">
        <v>0</v>
      </c>
      <c r="V38" s="62">
        <v>0</v>
      </c>
      <c r="W38" s="62">
        <v>0</v>
      </c>
      <c r="X38" s="516">
        <v>13990.09</v>
      </c>
      <c r="Y38" s="69"/>
      <c r="Z38" s="62">
        <v>0</v>
      </c>
      <c r="AA38" s="62">
        <v>0</v>
      </c>
      <c r="AB38" s="62">
        <v>450</v>
      </c>
      <c r="AC38" s="516">
        <v>13614.580000000002</v>
      </c>
      <c r="AD38" s="69"/>
      <c r="AE38" s="516">
        <v>13192.44</v>
      </c>
      <c r="AF38" s="516">
        <v>1384.8200000000002</v>
      </c>
      <c r="AG38" s="516">
        <v>3667.81</v>
      </c>
      <c r="AH38" s="516">
        <v>18245.07</v>
      </c>
      <c r="AI38" s="69"/>
      <c r="AJ38" s="62">
        <v>0</v>
      </c>
      <c r="AK38" s="62">
        <v>0</v>
      </c>
      <c r="AL38" s="62">
        <v>0</v>
      </c>
      <c r="AM38" s="62">
        <v>0</v>
      </c>
      <c r="AN38" s="69"/>
      <c r="AO38" s="518">
        <v>45849.740000000005</v>
      </c>
    </row>
    <row r="39" spans="1:41" ht="16.5" hidden="1" thickBot="1" x14ac:dyDescent="0.3">
      <c r="B39" s="81" t="s">
        <v>68</v>
      </c>
      <c r="C39" s="76"/>
      <c r="D39" s="52">
        <v>3500</v>
      </c>
      <c r="E39" s="52">
        <v>13499.3</v>
      </c>
      <c r="F39" s="52">
        <v>5500</v>
      </c>
      <c r="G39" s="53"/>
      <c r="H39" s="73">
        <v>5500</v>
      </c>
      <c r="I39" s="65">
        <v>3685</v>
      </c>
      <c r="J39" s="67">
        <v>1815</v>
      </c>
      <c r="K39" s="57"/>
      <c r="L39" s="58"/>
      <c r="M39" s="59">
        <v>-2500</v>
      </c>
      <c r="N39" s="60">
        <v>-1500</v>
      </c>
      <c r="O39" s="61">
        <v>-4000</v>
      </c>
      <c r="P39" s="61">
        <v>1500</v>
      </c>
      <c r="Q39" s="62">
        <v>450</v>
      </c>
      <c r="R39" s="63">
        <v>0.3</v>
      </c>
      <c r="S39" s="62">
        <v>1050</v>
      </c>
      <c r="T39" s="64"/>
      <c r="U39" s="65"/>
      <c r="V39" s="66"/>
      <c r="W39" s="67"/>
      <c r="X39" s="68">
        <v>0</v>
      </c>
      <c r="Y39" s="69"/>
      <c r="Z39" s="70"/>
      <c r="AA39" s="71"/>
      <c r="AB39" s="71">
        <v>450</v>
      </c>
      <c r="AC39" s="72">
        <v>450</v>
      </c>
      <c r="AD39" s="69"/>
      <c r="AE39" s="70"/>
      <c r="AF39" s="71"/>
      <c r="AG39" s="71"/>
      <c r="AH39" s="72">
        <v>0</v>
      </c>
      <c r="AI39" s="69"/>
      <c r="AJ39" s="70"/>
      <c r="AK39" s="71"/>
      <c r="AL39" s="71"/>
      <c r="AM39" s="72">
        <v>0</v>
      </c>
      <c r="AN39" s="69"/>
      <c r="AO39" s="450">
        <v>450</v>
      </c>
    </row>
    <row r="40" spans="1:41" ht="16.5" hidden="1" thickBot="1" x14ac:dyDescent="0.3">
      <c r="B40" s="50" t="s">
        <v>69</v>
      </c>
      <c r="C40" s="76"/>
      <c r="D40" s="52">
        <v>4000</v>
      </c>
      <c r="E40" s="52">
        <v>4000</v>
      </c>
      <c r="F40" s="52">
        <v>7645</v>
      </c>
      <c r="G40" s="53"/>
      <c r="H40" s="73">
        <v>10000</v>
      </c>
      <c r="I40" s="65">
        <v>6700</v>
      </c>
      <c r="J40" s="67">
        <v>3300</v>
      </c>
      <c r="K40" s="57"/>
      <c r="L40" s="58"/>
      <c r="M40" s="59">
        <v>9000</v>
      </c>
      <c r="N40" s="60">
        <v>-5908.44</v>
      </c>
      <c r="O40" s="61">
        <v>3091.5600000000004</v>
      </c>
      <c r="P40" s="61">
        <v>13091.560000000001</v>
      </c>
      <c r="Q40" s="62">
        <v>5481.47</v>
      </c>
      <c r="R40" s="63">
        <v>0.41870258395485332</v>
      </c>
      <c r="S40" s="62">
        <v>7610.0900000000011</v>
      </c>
      <c r="T40" s="64"/>
      <c r="U40" s="65">
        <v>406.47</v>
      </c>
      <c r="V40" s="66"/>
      <c r="W40" s="67">
        <v>5075</v>
      </c>
      <c r="X40" s="68">
        <v>5481.47</v>
      </c>
      <c r="Y40" s="69"/>
      <c r="Z40" s="70"/>
      <c r="AA40" s="71"/>
      <c r="AB40" s="71"/>
      <c r="AC40" s="72">
        <v>0</v>
      </c>
      <c r="AD40" s="69"/>
      <c r="AE40" s="70"/>
      <c r="AF40" s="71"/>
      <c r="AG40" s="71"/>
      <c r="AH40" s="72">
        <v>0</v>
      </c>
      <c r="AI40" s="69"/>
      <c r="AJ40" s="70"/>
      <c r="AK40" s="71"/>
      <c r="AL40" s="71"/>
      <c r="AM40" s="72">
        <v>0</v>
      </c>
      <c r="AN40" s="69"/>
      <c r="AO40" s="450">
        <v>5481.47</v>
      </c>
    </row>
    <row r="41" spans="1:41" ht="16.5" hidden="1" thickBot="1" x14ac:dyDescent="0.3">
      <c r="B41" s="50" t="s">
        <v>70</v>
      </c>
      <c r="C41" s="76"/>
      <c r="D41" s="52">
        <v>12870</v>
      </c>
      <c r="E41" s="52">
        <v>33665</v>
      </c>
      <c r="F41" s="52">
        <v>16398.52</v>
      </c>
      <c r="G41" s="53"/>
      <c r="H41" s="73">
        <v>16500</v>
      </c>
      <c r="I41" s="65">
        <v>11055</v>
      </c>
      <c r="J41" s="67">
        <v>5445</v>
      </c>
      <c r="K41" s="57"/>
      <c r="L41" s="58"/>
      <c r="M41" s="59"/>
      <c r="N41" s="60">
        <v>-120.41</v>
      </c>
      <c r="O41" s="61">
        <v>-120.41</v>
      </c>
      <c r="P41" s="61">
        <v>16379.59</v>
      </c>
      <c r="Q41" s="62">
        <v>9271.67</v>
      </c>
      <c r="R41" s="63">
        <v>0.56605018806942053</v>
      </c>
      <c r="S41" s="62">
        <v>7107.92</v>
      </c>
      <c r="T41" s="64"/>
      <c r="U41" s="65"/>
      <c r="V41" s="66">
        <v>239.16</v>
      </c>
      <c r="W41" s="67"/>
      <c r="X41" s="68">
        <v>239.16</v>
      </c>
      <c r="Y41" s="69"/>
      <c r="Z41" s="70"/>
      <c r="AA41" s="71">
        <v>1924.59</v>
      </c>
      <c r="AB41" s="71"/>
      <c r="AC41" s="72">
        <v>1924.59</v>
      </c>
      <c r="AD41" s="69"/>
      <c r="AE41" s="70">
        <v>7107.92</v>
      </c>
      <c r="AF41" s="71"/>
      <c r="AG41" s="71"/>
      <c r="AH41" s="72">
        <v>7107.92</v>
      </c>
      <c r="AI41" s="69"/>
      <c r="AJ41" s="70"/>
      <c r="AK41" s="71"/>
      <c r="AL41" s="71"/>
      <c r="AM41" s="72">
        <v>0</v>
      </c>
      <c r="AN41" s="69"/>
      <c r="AO41" s="450">
        <v>9271.67</v>
      </c>
    </row>
    <row r="42" spans="1:41" ht="16.5" hidden="1" thickBot="1" x14ac:dyDescent="0.3">
      <c r="B42" s="50" t="s">
        <v>71</v>
      </c>
      <c r="C42" s="76"/>
      <c r="D42" s="99"/>
      <c r="E42" s="99">
        <v>5388</v>
      </c>
      <c r="F42" s="99">
        <v>720</v>
      </c>
      <c r="G42" s="53"/>
      <c r="H42" s="73">
        <v>7200</v>
      </c>
      <c r="I42" s="65">
        <v>4824</v>
      </c>
      <c r="J42" s="67">
        <v>2376</v>
      </c>
      <c r="K42" s="57"/>
      <c r="L42" s="58"/>
      <c r="M42" s="59"/>
      <c r="N42" s="60">
        <v>-1000</v>
      </c>
      <c r="O42" s="61">
        <v>-1000</v>
      </c>
      <c r="P42" s="61">
        <v>6200</v>
      </c>
      <c r="Q42" s="62">
        <v>5035</v>
      </c>
      <c r="R42" s="63">
        <v>0.81209677419354842</v>
      </c>
      <c r="S42" s="62">
        <v>1165</v>
      </c>
      <c r="T42" s="64"/>
      <c r="U42" s="65">
        <v>680</v>
      </c>
      <c r="V42" s="66">
        <v>640</v>
      </c>
      <c r="W42" s="67"/>
      <c r="X42" s="68">
        <v>1320</v>
      </c>
      <c r="Y42" s="69"/>
      <c r="Z42" s="70">
        <v>1235</v>
      </c>
      <c r="AA42" s="71">
        <v>560</v>
      </c>
      <c r="AB42" s="71"/>
      <c r="AC42" s="72">
        <v>1795</v>
      </c>
      <c r="AD42" s="69"/>
      <c r="AE42" s="70">
        <v>1680</v>
      </c>
      <c r="AF42" s="71"/>
      <c r="AG42" s="71">
        <v>240</v>
      </c>
      <c r="AH42" s="72">
        <v>1920</v>
      </c>
      <c r="AI42" s="69"/>
      <c r="AJ42" s="70"/>
      <c r="AK42" s="71"/>
      <c r="AL42" s="71"/>
      <c r="AM42" s="72">
        <v>0</v>
      </c>
      <c r="AN42" s="69"/>
      <c r="AO42" s="450">
        <v>5035</v>
      </c>
    </row>
    <row r="43" spans="1:41" ht="16.5" hidden="1" thickBot="1" x14ac:dyDescent="0.3">
      <c r="B43" s="50" t="s">
        <v>72</v>
      </c>
      <c r="C43" s="76"/>
      <c r="D43" s="52">
        <v>48730.54</v>
      </c>
      <c r="E43" s="52">
        <v>14770.6</v>
      </c>
      <c r="F43" s="52">
        <v>10000</v>
      </c>
      <c r="G43" s="53"/>
      <c r="H43" s="73">
        <v>11700</v>
      </c>
      <c r="I43" s="65">
        <v>4250</v>
      </c>
      <c r="J43" s="67">
        <v>4250</v>
      </c>
      <c r="K43" s="57"/>
      <c r="L43" s="58"/>
      <c r="M43" s="59">
        <v>3000</v>
      </c>
      <c r="N43" s="60">
        <v>5000</v>
      </c>
      <c r="O43" s="61">
        <v>8000</v>
      </c>
      <c r="P43" s="61">
        <v>19700</v>
      </c>
      <c r="Q43" s="62">
        <v>16360.2</v>
      </c>
      <c r="R43" s="63">
        <v>0.83046700507614213</v>
      </c>
      <c r="S43" s="62">
        <v>3339.7999999999993</v>
      </c>
      <c r="T43" s="64"/>
      <c r="U43" s="65">
        <v>2131.85</v>
      </c>
      <c r="V43" s="66">
        <v>788.56</v>
      </c>
      <c r="W43" s="67">
        <v>880.69</v>
      </c>
      <c r="X43" s="68">
        <v>3801.1</v>
      </c>
      <c r="Y43" s="69"/>
      <c r="Z43" s="70">
        <v>1303.46</v>
      </c>
      <c r="AA43" s="71">
        <v>1814.5600000000002</v>
      </c>
      <c r="AB43" s="71">
        <v>2954.66</v>
      </c>
      <c r="AC43" s="72">
        <v>6072.68</v>
      </c>
      <c r="AD43" s="69"/>
      <c r="AE43" s="70">
        <v>3250.52</v>
      </c>
      <c r="AF43" s="71">
        <v>1122.17</v>
      </c>
      <c r="AG43" s="71">
        <v>2113.73</v>
      </c>
      <c r="AH43" s="72">
        <v>6486.42</v>
      </c>
      <c r="AI43" s="69"/>
      <c r="AJ43" s="70"/>
      <c r="AK43" s="71"/>
      <c r="AL43" s="71"/>
      <c r="AM43" s="72">
        <v>0</v>
      </c>
      <c r="AN43" s="69"/>
      <c r="AO43" s="450">
        <v>16360.2</v>
      </c>
    </row>
    <row r="44" spans="1:41" ht="16.5" hidden="1" thickBot="1" x14ac:dyDescent="0.3">
      <c r="B44" s="50" t="s">
        <v>73</v>
      </c>
      <c r="C44" s="76"/>
      <c r="D44" s="52">
        <v>48730.54</v>
      </c>
      <c r="E44" s="52">
        <v>14770.6</v>
      </c>
      <c r="F44" s="52">
        <v>7200</v>
      </c>
      <c r="G44" s="53"/>
      <c r="H44" s="73">
        <v>2000</v>
      </c>
      <c r="I44" s="65">
        <v>4250</v>
      </c>
      <c r="J44" s="67">
        <v>4250</v>
      </c>
      <c r="K44" s="57"/>
      <c r="L44" s="58"/>
      <c r="M44" s="59">
        <v>-1000</v>
      </c>
      <c r="N44" s="60">
        <v>3000</v>
      </c>
      <c r="O44" s="61">
        <v>2000</v>
      </c>
      <c r="P44" s="61">
        <v>4000</v>
      </c>
      <c r="Q44" s="62">
        <v>2610.4699999999998</v>
      </c>
      <c r="R44" s="63">
        <v>0.65261749999999996</v>
      </c>
      <c r="S44" s="62">
        <v>1389.5300000000002</v>
      </c>
      <c r="T44" s="64"/>
      <c r="U44" s="65"/>
      <c r="V44" s="66">
        <v>174.96</v>
      </c>
      <c r="W44" s="67"/>
      <c r="X44" s="68">
        <v>174.96</v>
      </c>
      <c r="Y44" s="69"/>
      <c r="Z44" s="70">
        <v>1902.23</v>
      </c>
      <c r="AA44" s="71"/>
      <c r="AB44" s="71">
        <v>319.72000000000003</v>
      </c>
      <c r="AC44" s="72">
        <v>2221.9499999999998</v>
      </c>
      <c r="AD44" s="69"/>
      <c r="AE44" s="70"/>
      <c r="AF44" s="71"/>
      <c r="AG44" s="71">
        <v>213.56</v>
      </c>
      <c r="AH44" s="72">
        <v>213.56</v>
      </c>
      <c r="AI44" s="69"/>
      <c r="AJ44" s="70"/>
      <c r="AK44" s="71"/>
      <c r="AL44" s="71"/>
      <c r="AM44" s="72">
        <v>0</v>
      </c>
      <c r="AN44" s="69"/>
      <c r="AO44" s="450">
        <v>2610.4699999999998</v>
      </c>
    </row>
    <row r="45" spans="1:41" ht="16.5" hidden="1" thickBot="1" x14ac:dyDescent="0.3">
      <c r="B45" s="50" t="s">
        <v>74</v>
      </c>
      <c r="C45" s="76"/>
      <c r="D45" s="52"/>
      <c r="E45" s="52"/>
      <c r="F45" s="52">
        <v>3621.3600000000015</v>
      </c>
      <c r="G45" s="53"/>
      <c r="H45" s="73">
        <v>0</v>
      </c>
      <c r="I45" s="65">
        <v>0</v>
      </c>
      <c r="J45" s="67">
        <v>0</v>
      </c>
      <c r="K45" s="57"/>
      <c r="L45" s="58"/>
      <c r="M45" s="59">
        <v>813.7</v>
      </c>
      <c r="N45" s="60"/>
      <c r="O45" s="61">
        <v>813.7</v>
      </c>
      <c r="P45" s="61">
        <v>813.7</v>
      </c>
      <c r="Q45" s="62">
        <v>813.7</v>
      </c>
      <c r="R45" s="63">
        <v>1</v>
      </c>
      <c r="S45" s="62">
        <v>0</v>
      </c>
      <c r="T45" s="64"/>
      <c r="U45" s="65">
        <v>813.7</v>
      </c>
      <c r="V45" s="66"/>
      <c r="W45" s="67"/>
      <c r="X45" s="68">
        <v>813.7</v>
      </c>
      <c r="Y45" s="69"/>
      <c r="Z45" s="70"/>
      <c r="AA45" s="71"/>
      <c r="AB45" s="71"/>
      <c r="AC45" s="72">
        <v>0</v>
      </c>
      <c r="AD45" s="69"/>
      <c r="AE45" s="70"/>
      <c r="AF45" s="71"/>
      <c r="AG45" s="71"/>
      <c r="AH45" s="72">
        <v>0</v>
      </c>
      <c r="AI45" s="69"/>
      <c r="AJ45" s="70"/>
      <c r="AK45" s="71"/>
      <c r="AL45" s="71"/>
      <c r="AM45" s="72">
        <v>0</v>
      </c>
      <c r="AN45" s="69"/>
      <c r="AO45" s="450">
        <v>813.7</v>
      </c>
    </row>
    <row r="46" spans="1:41" ht="16.5" hidden="1" thickBot="1" x14ac:dyDescent="0.3">
      <c r="B46" s="50" t="s">
        <v>75</v>
      </c>
      <c r="C46" s="76"/>
      <c r="D46" s="52"/>
      <c r="E46" s="52"/>
      <c r="F46" s="52">
        <v>12000</v>
      </c>
      <c r="G46" s="53"/>
      <c r="H46" s="73">
        <v>6000</v>
      </c>
      <c r="I46" s="65">
        <v>4020.0000000000005</v>
      </c>
      <c r="J46" s="67">
        <v>1980</v>
      </c>
      <c r="K46" s="57"/>
      <c r="L46" s="58"/>
      <c r="M46" s="59">
        <v>-6000</v>
      </c>
      <c r="N46" s="60"/>
      <c r="O46" s="61">
        <v>-6000</v>
      </c>
      <c r="P46" s="61">
        <v>0</v>
      </c>
      <c r="Q46" s="62">
        <v>0</v>
      </c>
      <c r="R46" s="63">
        <v>0</v>
      </c>
      <c r="S46" s="62">
        <v>0</v>
      </c>
      <c r="T46" s="64"/>
      <c r="U46" s="65"/>
      <c r="V46" s="66"/>
      <c r="W46" s="67"/>
      <c r="X46" s="68">
        <v>0</v>
      </c>
      <c r="Y46" s="69"/>
      <c r="Z46" s="70"/>
      <c r="AA46" s="71"/>
      <c r="AB46" s="71"/>
      <c r="AC46" s="72">
        <v>0</v>
      </c>
      <c r="AD46" s="69"/>
      <c r="AE46" s="70"/>
      <c r="AF46" s="71"/>
      <c r="AG46" s="71"/>
      <c r="AH46" s="72">
        <v>0</v>
      </c>
      <c r="AI46" s="69"/>
      <c r="AJ46" s="70"/>
      <c r="AK46" s="71"/>
      <c r="AL46" s="71"/>
      <c r="AM46" s="72">
        <v>0</v>
      </c>
      <c r="AN46" s="69"/>
      <c r="AO46" s="450">
        <v>0</v>
      </c>
    </row>
    <row r="47" spans="1:41" ht="16.5" hidden="1" thickBot="1" x14ac:dyDescent="0.3">
      <c r="B47" s="50" t="s">
        <v>76</v>
      </c>
      <c r="C47" s="76"/>
      <c r="D47" s="52"/>
      <c r="E47" s="52">
        <v>3448.93</v>
      </c>
      <c r="F47" s="52">
        <v>2400</v>
      </c>
      <c r="G47" s="53"/>
      <c r="H47" s="73">
        <v>2500</v>
      </c>
      <c r="I47" s="65">
        <v>1675</v>
      </c>
      <c r="J47" s="67">
        <v>825</v>
      </c>
      <c r="K47" s="57"/>
      <c r="L47" s="58"/>
      <c r="M47" s="59">
        <v>-500</v>
      </c>
      <c r="N47" s="60">
        <v>-500</v>
      </c>
      <c r="O47" s="61">
        <v>-1000</v>
      </c>
      <c r="P47" s="61">
        <v>1500</v>
      </c>
      <c r="Q47" s="62">
        <v>652.02</v>
      </c>
      <c r="R47" s="63">
        <v>0.43468000000000001</v>
      </c>
      <c r="S47" s="62">
        <v>847.98</v>
      </c>
      <c r="T47" s="64"/>
      <c r="U47" s="65">
        <v>135.29</v>
      </c>
      <c r="V47" s="66"/>
      <c r="W47" s="67">
        <v>383.83</v>
      </c>
      <c r="X47" s="68">
        <v>519.12</v>
      </c>
      <c r="Y47" s="69"/>
      <c r="Z47" s="70">
        <v>64.91</v>
      </c>
      <c r="AA47" s="71"/>
      <c r="AB47" s="71"/>
      <c r="AC47" s="72">
        <v>64.91</v>
      </c>
      <c r="AD47" s="69"/>
      <c r="AE47" s="70"/>
      <c r="AF47" s="71">
        <v>67.989999999999995</v>
      </c>
      <c r="AG47" s="71"/>
      <c r="AH47" s="72">
        <v>67.989999999999995</v>
      </c>
      <c r="AI47" s="69"/>
      <c r="AJ47" s="70"/>
      <c r="AK47" s="71"/>
      <c r="AL47" s="71"/>
      <c r="AM47" s="72">
        <v>0</v>
      </c>
      <c r="AN47" s="69"/>
      <c r="AO47" s="450">
        <v>652.02</v>
      </c>
    </row>
    <row r="48" spans="1:41" ht="16.5" hidden="1" thickBot="1" x14ac:dyDescent="0.3">
      <c r="B48" s="50" t="s">
        <v>77</v>
      </c>
      <c r="C48" s="76"/>
      <c r="D48" s="52"/>
      <c r="E48" s="52">
        <v>3032.44</v>
      </c>
      <c r="F48" s="52">
        <v>3025</v>
      </c>
      <c r="G48" s="53"/>
      <c r="H48" s="73">
        <v>2200</v>
      </c>
      <c r="I48" s="65">
        <v>1474</v>
      </c>
      <c r="J48" s="67">
        <v>726</v>
      </c>
      <c r="K48" s="57"/>
      <c r="L48" s="58"/>
      <c r="M48" s="59">
        <v>-500</v>
      </c>
      <c r="N48" s="60">
        <v>500</v>
      </c>
      <c r="O48" s="61">
        <v>0</v>
      </c>
      <c r="P48" s="61">
        <v>2200</v>
      </c>
      <c r="Q48" s="62">
        <v>1342.85</v>
      </c>
      <c r="R48" s="63">
        <v>0.61038636363636356</v>
      </c>
      <c r="S48" s="62">
        <v>857.15000000000009</v>
      </c>
      <c r="T48" s="64"/>
      <c r="U48" s="65">
        <v>92.06</v>
      </c>
      <c r="V48" s="66">
        <v>395.34</v>
      </c>
      <c r="W48" s="67"/>
      <c r="X48" s="68">
        <v>487.4</v>
      </c>
      <c r="Y48" s="69"/>
      <c r="Z48" s="70">
        <v>305.26</v>
      </c>
      <c r="AA48" s="71">
        <v>308.69</v>
      </c>
      <c r="AB48" s="71">
        <v>138</v>
      </c>
      <c r="AC48" s="72">
        <v>751.95</v>
      </c>
      <c r="AD48" s="69"/>
      <c r="AE48" s="70">
        <v>103.5</v>
      </c>
      <c r="AF48" s="71"/>
      <c r="AG48" s="71"/>
      <c r="AH48" s="72">
        <v>103.5</v>
      </c>
      <c r="AI48" s="69"/>
      <c r="AJ48" s="70"/>
      <c r="AK48" s="71"/>
      <c r="AL48" s="71"/>
      <c r="AM48" s="72">
        <v>0</v>
      </c>
      <c r="AN48" s="69"/>
      <c r="AO48" s="450">
        <v>1342.85</v>
      </c>
    </row>
    <row r="49" spans="2:41" ht="16.5" hidden="1" thickBot="1" x14ac:dyDescent="0.3">
      <c r="B49" s="50" t="s">
        <v>78</v>
      </c>
      <c r="C49" s="76"/>
      <c r="D49" s="52"/>
      <c r="E49" s="52"/>
      <c r="F49" s="52">
        <v>4800</v>
      </c>
      <c r="G49" s="53"/>
      <c r="H49" s="73">
        <v>4000</v>
      </c>
      <c r="I49" s="65">
        <v>2680</v>
      </c>
      <c r="J49" s="67">
        <v>1320</v>
      </c>
      <c r="K49" s="57"/>
      <c r="L49" s="58"/>
      <c r="M49" s="59"/>
      <c r="N49" s="60">
        <v>-1000</v>
      </c>
      <c r="O49" s="61">
        <v>-1000</v>
      </c>
      <c r="P49" s="61">
        <v>3000</v>
      </c>
      <c r="Q49" s="62">
        <v>3832.3600000000006</v>
      </c>
      <c r="R49" s="63">
        <v>1.2774533333333336</v>
      </c>
      <c r="S49" s="62">
        <v>-832.36000000000058</v>
      </c>
      <c r="T49" s="64"/>
      <c r="U49" s="65">
        <v>450</v>
      </c>
      <c r="V49" s="66">
        <v>693.44</v>
      </c>
      <c r="W49" s="67">
        <v>9.74</v>
      </c>
      <c r="X49" s="68">
        <v>1153.18</v>
      </c>
      <c r="Y49" s="69"/>
      <c r="Z49" s="70"/>
      <c r="AA49" s="71">
        <v>333.5</v>
      </c>
      <c r="AB49" s="71"/>
      <c r="AC49" s="72">
        <v>333.5</v>
      </c>
      <c r="AD49" s="69"/>
      <c r="AE49" s="70">
        <v>1050.5</v>
      </c>
      <c r="AF49" s="71">
        <v>194.66</v>
      </c>
      <c r="AG49" s="71">
        <v>1100.52</v>
      </c>
      <c r="AH49" s="72">
        <v>2345.6800000000003</v>
      </c>
      <c r="AI49" s="69"/>
      <c r="AJ49" s="70"/>
      <c r="AK49" s="71"/>
      <c r="AL49" s="71"/>
      <c r="AM49" s="72">
        <v>0</v>
      </c>
      <c r="AN49" s="69"/>
      <c r="AO49" s="450">
        <v>3832.3600000000006</v>
      </c>
    </row>
    <row r="50" spans="2:41" ht="16.5" hidden="1" thickBot="1" x14ac:dyDescent="0.3">
      <c r="B50" s="50" t="s">
        <v>79</v>
      </c>
      <c r="C50" s="76"/>
      <c r="D50" s="52"/>
      <c r="E50" s="52"/>
      <c r="F50" s="52">
        <v>1000</v>
      </c>
      <c r="G50" s="53"/>
      <c r="H50" s="73">
        <v>6800</v>
      </c>
      <c r="I50" s="65">
        <v>4556</v>
      </c>
      <c r="J50" s="67">
        <v>2244</v>
      </c>
      <c r="K50" s="57"/>
      <c r="L50" s="58"/>
      <c r="M50" s="59">
        <v>-2000</v>
      </c>
      <c r="N50" s="60">
        <v>-2000</v>
      </c>
      <c r="O50" s="61">
        <v>-4000</v>
      </c>
      <c r="P50" s="61">
        <v>2800</v>
      </c>
      <c r="Q50" s="62">
        <v>0</v>
      </c>
      <c r="R50" s="63">
        <v>0</v>
      </c>
      <c r="S50" s="62">
        <v>2800</v>
      </c>
      <c r="T50" s="64"/>
      <c r="U50" s="78"/>
      <c r="V50" s="100"/>
      <c r="W50" s="79"/>
      <c r="X50" s="68">
        <v>0</v>
      </c>
      <c r="Y50" s="69"/>
      <c r="Z50" s="70"/>
      <c r="AA50" s="71"/>
      <c r="AB50" s="71"/>
      <c r="AC50" s="72">
        <v>0</v>
      </c>
      <c r="AD50" s="69"/>
      <c r="AE50" s="70"/>
      <c r="AF50" s="71"/>
      <c r="AG50" s="71"/>
      <c r="AH50" s="72">
        <v>0</v>
      </c>
      <c r="AI50" s="69"/>
      <c r="AJ50" s="70"/>
      <c r="AK50" s="71"/>
      <c r="AL50" s="71"/>
      <c r="AM50" s="72">
        <v>0</v>
      </c>
      <c r="AN50" s="69"/>
      <c r="AO50" s="450">
        <v>0</v>
      </c>
    </row>
    <row r="51" spans="2:41" ht="7.9" customHeight="1" thickBot="1" x14ac:dyDescent="0.3">
      <c r="B51" s="50"/>
      <c r="C51" s="76"/>
      <c r="D51" s="52"/>
      <c r="E51" s="52"/>
      <c r="F51" s="52"/>
      <c r="G51" s="53"/>
      <c r="H51" s="73"/>
      <c r="I51" s="65"/>
      <c r="J51" s="67"/>
      <c r="K51" s="57"/>
      <c r="L51" s="58"/>
      <c r="M51" s="59"/>
      <c r="N51" s="60"/>
      <c r="O51" s="61"/>
      <c r="P51" s="61"/>
      <c r="Q51" s="62"/>
      <c r="R51" s="63"/>
      <c r="S51" s="62"/>
      <c r="T51" s="64"/>
      <c r="U51" s="78"/>
      <c r="V51" s="100"/>
      <c r="W51" s="79"/>
      <c r="X51" s="68"/>
      <c r="Y51" s="69"/>
      <c r="Z51" s="70"/>
      <c r="AA51" s="71"/>
      <c r="AB51" s="71"/>
      <c r="AC51" s="72"/>
      <c r="AD51" s="69"/>
      <c r="AE51" s="70"/>
      <c r="AF51" s="71"/>
      <c r="AG51" s="71"/>
      <c r="AH51" s="72"/>
      <c r="AI51" s="69"/>
      <c r="AJ51" s="70"/>
      <c r="AK51" s="71"/>
      <c r="AL51" s="71"/>
      <c r="AM51" s="72"/>
      <c r="AN51" s="69"/>
      <c r="AO51" s="451"/>
    </row>
    <row r="52" spans="2:41" ht="16.5" thickBot="1" x14ac:dyDescent="0.3">
      <c r="B52" s="449" t="s">
        <v>80</v>
      </c>
      <c r="C52" s="51"/>
      <c r="D52" s="80"/>
      <c r="E52" s="80"/>
      <c r="F52" s="80"/>
      <c r="G52" s="82"/>
      <c r="H52" s="514">
        <v>129585</v>
      </c>
      <c r="I52" s="55">
        <v>66721.95</v>
      </c>
      <c r="J52" s="56">
        <v>62728.05</v>
      </c>
      <c r="K52" s="57">
        <v>0</v>
      </c>
      <c r="L52" s="58">
        <v>0</v>
      </c>
      <c r="M52" s="59">
        <v>5500</v>
      </c>
      <c r="N52" s="60">
        <v>8080.94</v>
      </c>
      <c r="O52" s="515">
        <v>13580.939999999999</v>
      </c>
      <c r="P52" s="515">
        <v>143165.94</v>
      </c>
      <c r="Q52" s="516">
        <v>113429.94</v>
      </c>
      <c r="R52" s="517">
        <v>0.79229696672267158</v>
      </c>
      <c r="S52" s="516">
        <v>29736</v>
      </c>
      <c r="T52" s="64"/>
      <c r="U52" s="62">
        <v>1710.6</v>
      </c>
      <c r="V52" s="62">
        <v>41.57</v>
      </c>
      <c r="W52" s="62">
        <v>201.81</v>
      </c>
      <c r="X52" s="516">
        <v>59694.07</v>
      </c>
      <c r="Y52" s="69"/>
      <c r="Z52" s="62">
        <v>4750.8599999999997</v>
      </c>
      <c r="AA52" s="62">
        <v>91.14</v>
      </c>
      <c r="AB52" s="62">
        <v>2320.8200000000002</v>
      </c>
      <c r="AC52" s="516">
        <v>34965.100000000006</v>
      </c>
      <c r="AD52" s="69"/>
      <c r="AE52" s="516">
        <v>5008.9799999999996</v>
      </c>
      <c r="AF52" s="516">
        <v>6450.0200000000013</v>
      </c>
      <c r="AG52" s="516">
        <v>7311.7700000000013</v>
      </c>
      <c r="AH52" s="516">
        <v>18770.77</v>
      </c>
      <c r="AI52" s="69"/>
      <c r="AJ52" s="62">
        <v>0</v>
      </c>
      <c r="AK52" s="62">
        <v>0</v>
      </c>
      <c r="AL52" s="62">
        <v>0</v>
      </c>
      <c r="AM52" s="62">
        <v>0</v>
      </c>
      <c r="AN52" s="69"/>
      <c r="AO52" s="518">
        <v>113429.94000000002</v>
      </c>
    </row>
    <row r="53" spans="2:41" ht="16.5" hidden="1" thickBot="1" x14ac:dyDescent="0.3">
      <c r="B53" s="50" t="s">
        <v>81</v>
      </c>
      <c r="C53" s="76"/>
      <c r="D53" s="52">
        <v>1150</v>
      </c>
      <c r="E53" s="52">
        <v>16760.580000000002</v>
      </c>
      <c r="F53" s="52">
        <v>2350</v>
      </c>
      <c r="G53" s="53"/>
      <c r="H53" s="73">
        <v>2500</v>
      </c>
      <c r="I53" s="65">
        <v>1675</v>
      </c>
      <c r="J53" s="67">
        <v>825</v>
      </c>
      <c r="K53" s="57"/>
      <c r="L53" s="58"/>
      <c r="M53" s="59">
        <v>5500</v>
      </c>
      <c r="N53" s="60">
        <v>6500</v>
      </c>
      <c r="O53" s="61">
        <v>12000</v>
      </c>
      <c r="P53" s="61">
        <v>14500</v>
      </c>
      <c r="Q53" s="62">
        <v>10658.109999999999</v>
      </c>
      <c r="R53" s="63">
        <v>0.73504206896551716</v>
      </c>
      <c r="S53" s="62">
        <v>3841.8900000000012</v>
      </c>
      <c r="T53" s="64"/>
      <c r="U53" s="65">
        <v>1710.6</v>
      </c>
      <c r="V53" s="66">
        <v>41.57</v>
      </c>
      <c r="W53" s="67">
        <v>201.81</v>
      </c>
      <c r="X53" s="68">
        <v>1953.9799999999998</v>
      </c>
      <c r="Y53" s="69"/>
      <c r="Z53" s="70">
        <v>4750.8599999999997</v>
      </c>
      <c r="AA53" s="71">
        <v>91.14</v>
      </c>
      <c r="AB53" s="71">
        <v>2320.8200000000002</v>
      </c>
      <c r="AC53" s="72">
        <v>7162.82</v>
      </c>
      <c r="AD53" s="69"/>
      <c r="AE53" s="70">
        <v>201.81</v>
      </c>
      <c r="AF53" s="71">
        <v>777.47</v>
      </c>
      <c r="AG53" s="71">
        <v>562.03</v>
      </c>
      <c r="AH53" s="72">
        <v>1541.31</v>
      </c>
      <c r="AI53" s="69"/>
      <c r="AJ53" s="70"/>
      <c r="AK53" s="71"/>
      <c r="AL53" s="71"/>
      <c r="AM53" s="72">
        <v>0</v>
      </c>
      <c r="AN53" s="69"/>
      <c r="AO53" s="450">
        <v>10658.109999999999</v>
      </c>
    </row>
    <row r="54" spans="2:41" ht="16.5" hidden="1" thickBot="1" x14ac:dyDescent="0.3">
      <c r="B54" s="50" t="s">
        <v>82</v>
      </c>
      <c r="C54" s="76"/>
      <c r="D54" s="52">
        <v>7312.5</v>
      </c>
      <c r="E54" s="52">
        <v>27600</v>
      </c>
      <c r="F54" s="52">
        <v>32600</v>
      </c>
      <c r="G54" s="53"/>
      <c r="H54" s="73">
        <v>30000</v>
      </c>
      <c r="I54" s="65">
        <v>0</v>
      </c>
      <c r="J54" s="67">
        <v>30000</v>
      </c>
      <c r="K54" s="57"/>
      <c r="L54" s="58"/>
      <c r="M54" s="59"/>
      <c r="N54" s="60"/>
      <c r="O54" s="61">
        <v>0</v>
      </c>
      <c r="P54" s="61">
        <v>30000</v>
      </c>
      <c r="Q54" s="62">
        <v>22500</v>
      </c>
      <c r="R54" s="63">
        <v>0.75</v>
      </c>
      <c r="S54" s="62">
        <v>7500</v>
      </c>
      <c r="T54" s="64"/>
      <c r="U54" s="65">
        <v>2500</v>
      </c>
      <c r="V54" s="66">
        <v>2500</v>
      </c>
      <c r="W54" s="67">
        <v>2500</v>
      </c>
      <c r="X54" s="68">
        <v>7500</v>
      </c>
      <c r="Y54" s="69"/>
      <c r="Z54" s="70">
        <v>2500</v>
      </c>
      <c r="AA54" s="71">
        <v>2500</v>
      </c>
      <c r="AB54" s="71">
        <v>2500</v>
      </c>
      <c r="AC54" s="72">
        <v>7500</v>
      </c>
      <c r="AD54" s="69"/>
      <c r="AE54" s="70">
        <v>2500</v>
      </c>
      <c r="AF54" s="71">
        <v>2500</v>
      </c>
      <c r="AG54" s="71">
        <v>2500</v>
      </c>
      <c r="AH54" s="72">
        <v>7500</v>
      </c>
      <c r="AI54" s="69"/>
      <c r="AJ54" s="70"/>
      <c r="AK54" s="71"/>
      <c r="AL54" s="71"/>
      <c r="AM54" s="72">
        <v>0</v>
      </c>
      <c r="AN54" s="69"/>
      <c r="AO54" s="450">
        <v>22500</v>
      </c>
    </row>
    <row r="55" spans="2:41" ht="16.5" hidden="1" thickBot="1" x14ac:dyDescent="0.3">
      <c r="B55" s="50" t="s">
        <v>83</v>
      </c>
      <c r="C55" s="76"/>
      <c r="D55" s="52">
        <v>7468.75</v>
      </c>
      <c r="E55" s="52">
        <v>5800</v>
      </c>
      <c r="F55" s="52">
        <v>13800</v>
      </c>
      <c r="G55" s="53"/>
      <c r="H55" s="73">
        <v>14235</v>
      </c>
      <c r="I55" s="65">
        <v>9537.4500000000007</v>
      </c>
      <c r="J55" s="67">
        <v>4697.55</v>
      </c>
      <c r="K55" s="57"/>
      <c r="L55" s="58"/>
      <c r="M55" s="59"/>
      <c r="N55" s="60">
        <v>-1000</v>
      </c>
      <c r="O55" s="61">
        <v>-1000</v>
      </c>
      <c r="P55" s="61">
        <v>13235</v>
      </c>
      <c r="Q55" s="62">
        <v>7820.1200000000008</v>
      </c>
      <c r="R55" s="63">
        <v>0.59086664148092183</v>
      </c>
      <c r="S55" s="62">
        <v>5414.8799999999992</v>
      </c>
      <c r="T55" s="64"/>
      <c r="U55" s="65">
        <v>1468.98</v>
      </c>
      <c r="V55" s="66">
        <v>1481.52</v>
      </c>
      <c r="W55" s="67">
        <v>413.15</v>
      </c>
      <c r="X55" s="68">
        <v>3363.65</v>
      </c>
      <c r="Y55" s="69"/>
      <c r="Z55" s="70">
        <v>1781.4699999999998</v>
      </c>
      <c r="AA55" s="71">
        <v>1074.95</v>
      </c>
      <c r="AB55" s="71">
        <v>414.37</v>
      </c>
      <c r="AC55" s="72">
        <v>3270.79</v>
      </c>
      <c r="AD55" s="69"/>
      <c r="AE55" s="70">
        <v>394.84</v>
      </c>
      <c r="AF55" s="71">
        <v>394.88</v>
      </c>
      <c r="AG55" s="71">
        <v>395.96</v>
      </c>
      <c r="AH55" s="72">
        <v>1185.68</v>
      </c>
      <c r="AI55" s="69"/>
      <c r="AJ55" s="70"/>
      <c r="AK55" s="71"/>
      <c r="AL55" s="71"/>
      <c r="AM55" s="72">
        <v>0</v>
      </c>
      <c r="AN55" s="69"/>
      <c r="AO55" s="450">
        <v>7820.1200000000008</v>
      </c>
    </row>
    <row r="56" spans="2:41" ht="16.5" hidden="1" thickBot="1" x14ac:dyDescent="0.3">
      <c r="B56" s="50" t="s">
        <v>84</v>
      </c>
      <c r="C56" s="76"/>
      <c r="D56" s="52">
        <v>600</v>
      </c>
      <c r="E56" s="52">
        <v>8276.3700000000008</v>
      </c>
      <c r="F56" s="52">
        <v>6500</v>
      </c>
      <c r="G56" s="53"/>
      <c r="H56" s="73">
        <v>8000</v>
      </c>
      <c r="I56" s="65">
        <v>5360</v>
      </c>
      <c r="J56" s="67">
        <v>2640</v>
      </c>
      <c r="K56" s="57"/>
      <c r="L56" s="58"/>
      <c r="M56" s="59"/>
      <c r="N56" s="60">
        <v>5000</v>
      </c>
      <c r="O56" s="61">
        <v>5000</v>
      </c>
      <c r="P56" s="61">
        <v>13000</v>
      </c>
      <c r="Q56" s="62">
        <v>7805.0099999999993</v>
      </c>
      <c r="R56" s="63">
        <v>0.6003853846153846</v>
      </c>
      <c r="S56" s="62">
        <v>5194.9900000000007</v>
      </c>
      <c r="T56" s="64"/>
      <c r="U56" s="65">
        <v>907.59</v>
      </c>
      <c r="V56" s="66">
        <v>1070.28</v>
      </c>
      <c r="W56" s="67">
        <v>205</v>
      </c>
      <c r="X56" s="68">
        <v>2182.87</v>
      </c>
      <c r="Y56" s="69"/>
      <c r="Z56" s="70"/>
      <c r="AA56" s="71">
        <v>2274.15</v>
      </c>
      <c r="AB56" s="71">
        <v>2606.6499999999996</v>
      </c>
      <c r="AC56" s="72">
        <v>4880.7999999999993</v>
      </c>
      <c r="AD56" s="69"/>
      <c r="AE56" s="70">
        <v>313.78000000000003</v>
      </c>
      <c r="AF56" s="71">
        <v>113.78</v>
      </c>
      <c r="AG56" s="71">
        <v>313.78000000000003</v>
      </c>
      <c r="AH56" s="72">
        <v>741.34000000000015</v>
      </c>
      <c r="AI56" s="69"/>
      <c r="AJ56" s="70"/>
      <c r="AK56" s="71"/>
      <c r="AL56" s="71"/>
      <c r="AM56" s="72">
        <v>0</v>
      </c>
      <c r="AN56" s="69"/>
      <c r="AO56" s="450">
        <v>7805.0099999999993</v>
      </c>
    </row>
    <row r="57" spans="2:41" ht="16.5" hidden="1" thickBot="1" x14ac:dyDescent="0.3">
      <c r="B57" s="50" t="s">
        <v>85</v>
      </c>
      <c r="C57" s="76"/>
      <c r="D57" s="52">
        <v>7006.23</v>
      </c>
      <c r="E57" s="52">
        <v>12500</v>
      </c>
      <c r="F57" s="52">
        <v>8000</v>
      </c>
      <c r="G57" s="53"/>
      <c r="H57" s="73">
        <v>7000</v>
      </c>
      <c r="I57" s="65">
        <v>4690</v>
      </c>
      <c r="J57" s="67">
        <v>2310</v>
      </c>
      <c r="K57" s="57"/>
      <c r="L57" s="58"/>
      <c r="M57" s="59">
        <v>-5000</v>
      </c>
      <c r="N57" s="60">
        <v>3000</v>
      </c>
      <c r="O57" s="61">
        <v>-2000</v>
      </c>
      <c r="P57" s="61">
        <v>5000</v>
      </c>
      <c r="Q57" s="62">
        <v>3926.58</v>
      </c>
      <c r="R57" s="63">
        <v>0.78531600000000001</v>
      </c>
      <c r="S57" s="62">
        <v>1073.42</v>
      </c>
      <c r="T57" s="64"/>
      <c r="U57" s="65">
        <v>170.58</v>
      </c>
      <c r="V57" s="66">
        <v>170.18</v>
      </c>
      <c r="W57" s="67">
        <v>176.9</v>
      </c>
      <c r="X57" s="68">
        <v>517.66</v>
      </c>
      <c r="Y57" s="69"/>
      <c r="Z57" s="70">
        <v>1219.56</v>
      </c>
      <c r="AA57" s="71">
        <v>176.9</v>
      </c>
      <c r="AB57" s="71">
        <v>973.94</v>
      </c>
      <c r="AC57" s="72">
        <v>2370.4</v>
      </c>
      <c r="AD57" s="69"/>
      <c r="AE57" s="70">
        <v>188.27</v>
      </c>
      <c r="AF57" s="71">
        <v>432.75</v>
      </c>
      <c r="AG57" s="71">
        <v>417.5</v>
      </c>
      <c r="AH57" s="72">
        <v>1038.52</v>
      </c>
      <c r="AI57" s="69"/>
      <c r="AJ57" s="70"/>
      <c r="AK57" s="71"/>
      <c r="AL57" s="71"/>
      <c r="AM57" s="72">
        <v>0</v>
      </c>
      <c r="AN57" s="69"/>
      <c r="AO57" s="450">
        <v>3926.58</v>
      </c>
    </row>
    <row r="58" spans="2:41" ht="16.5" hidden="1" thickBot="1" x14ac:dyDescent="0.3">
      <c r="B58" s="50" t="s">
        <v>86</v>
      </c>
      <c r="C58" s="76"/>
      <c r="D58" s="52">
        <v>250</v>
      </c>
      <c r="E58" s="52">
        <v>744</v>
      </c>
      <c r="F58" s="52">
        <v>494</v>
      </c>
      <c r="G58" s="53"/>
      <c r="H58" s="73">
        <v>350</v>
      </c>
      <c r="I58" s="65">
        <v>234.5</v>
      </c>
      <c r="J58" s="67">
        <v>115.5</v>
      </c>
      <c r="K58" s="57"/>
      <c r="L58" s="58"/>
      <c r="M58" s="59"/>
      <c r="N58" s="60"/>
      <c r="O58" s="61">
        <v>0</v>
      </c>
      <c r="P58" s="61">
        <v>350</v>
      </c>
      <c r="Q58" s="62">
        <v>323.77999999999992</v>
      </c>
      <c r="R58" s="63">
        <v>0.92508571428571407</v>
      </c>
      <c r="S58" s="62">
        <v>26.220000000000084</v>
      </c>
      <c r="T58" s="64"/>
      <c r="U58" s="65"/>
      <c r="V58" s="66"/>
      <c r="W58" s="67">
        <v>17.34</v>
      </c>
      <c r="X58" s="68">
        <v>17.34</v>
      </c>
      <c r="Y58" s="69"/>
      <c r="Z58" s="70">
        <v>8.69</v>
      </c>
      <c r="AA58" s="71">
        <v>74.13</v>
      </c>
      <c r="AB58" s="71">
        <v>187.60999999999999</v>
      </c>
      <c r="AC58" s="72">
        <v>270.42999999999995</v>
      </c>
      <c r="AD58" s="69"/>
      <c r="AE58" s="70">
        <v>4.76</v>
      </c>
      <c r="AF58" s="71">
        <v>5.65</v>
      </c>
      <c r="AG58" s="71">
        <v>25.6</v>
      </c>
      <c r="AH58" s="72">
        <v>36.010000000000005</v>
      </c>
      <c r="AI58" s="69"/>
      <c r="AJ58" s="70"/>
      <c r="AK58" s="71"/>
      <c r="AL58" s="71"/>
      <c r="AM58" s="72">
        <v>0</v>
      </c>
      <c r="AN58" s="69"/>
      <c r="AO58" s="450">
        <v>323.77999999999992</v>
      </c>
    </row>
    <row r="59" spans="2:41" ht="16.5" hidden="1" thickBot="1" x14ac:dyDescent="0.3">
      <c r="B59" s="50" t="s">
        <v>87</v>
      </c>
      <c r="C59" s="76"/>
      <c r="D59" s="52"/>
      <c r="E59" s="52">
        <v>12000</v>
      </c>
      <c r="F59" s="52">
        <v>8040</v>
      </c>
      <c r="G59" s="53"/>
      <c r="H59" s="73">
        <v>5000</v>
      </c>
      <c r="I59" s="65">
        <v>3350</v>
      </c>
      <c r="J59" s="67">
        <v>1650</v>
      </c>
      <c r="K59" s="57"/>
      <c r="L59" s="58"/>
      <c r="M59" s="59"/>
      <c r="N59" s="60">
        <v>-2500</v>
      </c>
      <c r="O59" s="61">
        <v>-2500</v>
      </c>
      <c r="P59" s="61">
        <v>2500</v>
      </c>
      <c r="Q59" s="62">
        <v>2100.1</v>
      </c>
      <c r="R59" s="63">
        <v>0.84004000000000001</v>
      </c>
      <c r="S59" s="62">
        <v>399.90000000000009</v>
      </c>
      <c r="T59" s="64"/>
      <c r="U59" s="65"/>
      <c r="V59" s="66"/>
      <c r="W59" s="67"/>
      <c r="X59" s="68">
        <v>0</v>
      </c>
      <c r="Y59" s="69"/>
      <c r="Z59" s="70">
        <v>1301.8</v>
      </c>
      <c r="AA59" s="71"/>
      <c r="AB59" s="71"/>
      <c r="AC59" s="72">
        <v>1301.8</v>
      </c>
      <c r="AD59" s="69"/>
      <c r="AE59" s="70">
        <v>798.3</v>
      </c>
      <c r="AF59" s="71"/>
      <c r="AG59" s="71"/>
      <c r="AH59" s="72">
        <v>798.3</v>
      </c>
      <c r="AI59" s="69"/>
      <c r="AJ59" s="70"/>
      <c r="AK59" s="71"/>
      <c r="AL59" s="71"/>
      <c r="AM59" s="72">
        <v>0</v>
      </c>
      <c r="AN59" s="69"/>
      <c r="AO59" s="450">
        <v>2100.1</v>
      </c>
    </row>
    <row r="60" spans="2:41" ht="16.5" hidden="1" thickBot="1" x14ac:dyDescent="0.3">
      <c r="B60" s="50" t="s">
        <v>88</v>
      </c>
      <c r="C60" s="76"/>
      <c r="D60" s="52"/>
      <c r="E60" s="52">
        <v>9557.17</v>
      </c>
      <c r="F60" s="52">
        <v>4750</v>
      </c>
      <c r="G60" s="53"/>
      <c r="H60" s="73">
        <v>3500</v>
      </c>
      <c r="I60" s="65">
        <v>2345</v>
      </c>
      <c r="J60" s="67">
        <v>1155</v>
      </c>
      <c r="K60" s="57"/>
      <c r="L60" s="58"/>
      <c r="M60" s="59"/>
      <c r="N60" s="60">
        <v>-1000</v>
      </c>
      <c r="O60" s="61">
        <v>-1000</v>
      </c>
      <c r="P60" s="61">
        <v>2500</v>
      </c>
      <c r="Q60" s="62">
        <v>1648</v>
      </c>
      <c r="R60" s="63">
        <v>0.65920000000000001</v>
      </c>
      <c r="S60" s="62">
        <v>852</v>
      </c>
      <c r="T60" s="64"/>
      <c r="U60" s="65">
        <v>250</v>
      </c>
      <c r="V60" s="66"/>
      <c r="W60" s="67">
        <v>123.67</v>
      </c>
      <c r="X60" s="68">
        <v>373.67</v>
      </c>
      <c r="Y60" s="69"/>
      <c r="Z60" s="70">
        <v>329.69</v>
      </c>
      <c r="AA60" s="71">
        <v>506.69</v>
      </c>
      <c r="AB60" s="71">
        <v>65.59</v>
      </c>
      <c r="AC60" s="72">
        <v>901.97</v>
      </c>
      <c r="AD60" s="69"/>
      <c r="AE60" s="70">
        <v>57.95</v>
      </c>
      <c r="AF60" s="71"/>
      <c r="AG60" s="71">
        <v>314.41000000000003</v>
      </c>
      <c r="AH60" s="72">
        <v>372.36</v>
      </c>
      <c r="AI60" s="69"/>
      <c r="AJ60" s="70"/>
      <c r="AK60" s="71"/>
      <c r="AL60" s="71"/>
      <c r="AM60" s="72">
        <v>0</v>
      </c>
      <c r="AN60" s="69"/>
      <c r="AO60" s="450">
        <v>1648</v>
      </c>
    </row>
    <row r="61" spans="2:41" ht="16.5" hidden="1" thickBot="1" x14ac:dyDescent="0.3">
      <c r="B61" s="50" t="s">
        <v>89</v>
      </c>
      <c r="C61" s="76"/>
      <c r="D61" s="52">
        <v>2470.9299999999998</v>
      </c>
      <c r="E61" s="52">
        <v>5369.89</v>
      </c>
      <c r="F61" s="52">
        <v>5300</v>
      </c>
      <c r="G61" s="53"/>
      <c r="H61" s="73">
        <v>5000</v>
      </c>
      <c r="I61" s="65">
        <v>3350</v>
      </c>
      <c r="J61" s="67">
        <v>1650</v>
      </c>
      <c r="K61" s="57"/>
      <c r="L61" s="58"/>
      <c r="M61" s="59">
        <v>5000</v>
      </c>
      <c r="N61" s="60">
        <v>-500</v>
      </c>
      <c r="O61" s="61">
        <v>4500</v>
      </c>
      <c r="P61" s="61">
        <v>9500</v>
      </c>
      <c r="Q61" s="62">
        <v>7598.7000000000007</v>
      </c>
      <c r="R61" s="63">
        <v>0.79986315789473694</v>
      </c>
      <c r="S61" s="62">
        <v>1901.2999999999993</v>
      </c>
      <c r="T61" s="64"/>
      <c r="U61" s="65">
        <v>285.72999999999996</v>
      </c>
      <c r="V61" s="66">
        <v>996.22</v>
      </c>
      <c r="W61" s="67">
        <v>1136.5700000000002</v>
      </c>
      <c r="X61" s="68">
        <v>2418.5200000000004</v>
      </c>
      <c r="Y61" s="69"/>
      <c r="Z61" s="70">
        <v>2265.5700000000002</v>
      </c>
      <c r="AA61" s="71">
        <v>17.89</v>
      </c>
      <c r="AB61" s="71">
        <v>6.85</v>
      </c>
      <c r="AC61" s="72">
        <v>2290.31</v>
      </c>
      <c r="AD61" s="69"/>
      <c r="AE61" s="70">
        <v>105.58000000000001</v>
      </c>
      <c r="AF61" s="71">
        <v>908.85</v>
      </c>
      <c r="AG61" s="71">
        <v>1875.4400000000003</v>
      </c>
      <c r="AH61" s="72">
        <v>2889.8700000000003</v>
      </c>
      <c r="AI61" s="69"/>
      <c r="AJ61" s="70"/>
      <c r="AK61" s="71"/>
      <c r="AL61" s="71"/>
      <c r="AM61" s="72">
        <v>0</v>
      </c>
      <c r="AN61" s="69"/>
      <c r="AO61" s="450">
        <v>7598.7000000000007</v>
      </c>
    </row>
    <row r="62" spans="2:41" ht="16.5" hidden="1" thickBot="1" x14ac:dyDescent="0.3">
      <c r="B62" s="50" t="s">
        <v>90</v>
      </c>
      <c r="C62" s="76"/>
      <c r="D62" s="52"/>
      <c r="E62" s="52">
        <v>4867.3999999999996</v>
      </c>
      <c r="F62" s="52">
        <v>3258.6400000000003</v>
      </c>
      <c r="G62" s="53"/>
      <c r="H62" s="73">
        <v>3500</v>
      </c>
      <c r="I62" s="65">
        <v>2345</v>
      </c>
      <c r="J62" s="67">
        <v>1155</v>
      </c>
      <c r="K62" s="57"/>
      <c r="L62" s="58"/>
      <c r="M62" s="59"/>
      <c r="N62" s="60">
        <v>686.4</v>
      </c>
      <c r="O62" s="61">
        <v>686.4</v>
      </c>
      <c r="P62" s="61">
        <v>4186.3999999999996</v>
      </c>
      <c r="Q62" s="62">
        <v>2143.06</v>
      </c>
      <c r="R62" s="63">
        <v>0.51190999426715078</v>
      </c>
      <c r="S62" s="62">
        <v>2043.3399999999997</v>
      </c>
      <c r="T62" s="64"/>
      <c r="U62" s="65"/>
      <c r="V62" s="66"/>
      <c r="W62" s="67"/>
      <c r="X62" s="68">
        <v>0</v>
      </c>
      <c r="Y62" s="69"/>
      <c r="Z62" s="70"/>
      <c r="AA62" s="71">
        <v>2143.06</v>
      </c>
      <c r="AB62" s="71"/>
      <c r="AC62" s="72">
        <v>2143.06</v>
      </c>
      <c r="AD62" s="69"/>
      <c r="AE62" s="70"/>
      <c r="AF62" s="71"/>
      <c r="AG62" s="71"/>
      <c r="AH62" s="72">
        <v>0</v>
      </c>
      <c r="AI62" s="69"/>
      <c r="AJ62" s="70"/>
      <c r="AK62" s="71"/>
      <c r="AL62" s="71"/>
      <c r="AM62" s="72">
        <v>0</v>
      </c>
      <c r="AN62" s="69"/>
      <c r="AO62" s="450">
        <v>2143.06</v>
      </c>
    </row>
    <row r="63" spans="2:41" ht="16.5" hidden="1" thickBot="1" x14ac:dyDescent="0.3">
      <c r="B63" s="50" t="s">
        <v>91</v>
      </c>
      <c r="C63" s="76"/>
      <c r="D63" s="52"/>
      <c r="E63" s="52">
        <v>4545.96</v>
      </c>
      <c r="F63" s="52">
        <v>4500</v>
      </c>
      <c r="G63" s="53"/>
      <c r="H63" s="73">
        <v>3000</v>
      </c>
      <c r="I63" s="65">
        <v>2010.0000000000002</v>
      </c>
      <c r="J63" s="67">
        <v>990</v>
      </c>
      <c r="K63" s="57"/>
      <c r="L63" s="58"/>
      <c r="M63" s="59"/>
      <c r="N63" s="60">
        <v>-2105.46</v>
      </c>
      <c r="O63" s="61">
        <v>-2105.46</v>
      </c>
      <c r="P63" s="61">
        <v>894.54</v>
      </c>
      <c r="Q63" s="62">
        <v>894.54</v>
      </c>
      <c r="R63" s="63">
        <v>1</v>
      </c>
      <c r="S63" s="62">
        <v>0</v>
      </c>
      <c r="T63" s="64"/>
      <c r="U63" s="65">
        <v>406.92</v>
      </c>
      <c r="V63" s="66">
        <v>425.38</v>
      </c>
      <c r="W63" s="67"/>
      <c r="X63" s="68">
        <v>832.3</v>
      </c>
      <c r="Y63" s="69"/>
      <c r="Z63" s="70"/>
      <c r="AA63" s="71"/>
      <c r="AB63" s="71"/>
      <c r="AC63" s="72">
        <v>0</v>
      </c>
      <c r="AD63" s="69"/>
      <c r="AE63" s="70">
        <v>62.24</v>
      </c>
      <c r="AF63" s="71"/>
      <c r="AG63" s="71"/>
      <c r="AH63" s="72">
        <v>62.24</v>
      </c>
      <c r="AI63" s="69"/>
      <c r="AJ63" s="70"/>
      <c r="AK63" s="71"/>
      <c r="AL63" s="71"/>
      <c r="AM63" s="72">
        <v>0</v>
      </c>
      <c r="AN63" s="69"/>
      <c r="AO63" s="450">
        <v>894.54</v>
      </c>
    </row>
    <row r="64" spans="2:41" ht="16.5" hidden="1" thickBot="1" x14ac:dyDescent="0.3">
      <c r="B64" s="50" t="s">
        <v>92</v>
      </c>
      <c r="C64" s="76"/>
      <c r="D64" s="52">
        <v>6664.49</v>
      </c>
      <c r="E64" s="52">
        <v>9058.7999999999993</v>
      </c>
      <c r="F64" s="52">
        <v>9917.06</v>
      </c>
      <c r="G64" s="53"/>
      <c r="H64" s="73">
        <v>9500</v>
      </c>
      <c r="I64" s="65">
        <v>6365</v>
      </c>
      <c r="J64" s="67">
        <v>3000</v>
      </c>
      <c r="K64" s="57"/>
      <c r="L64" s="58"/>
      <c r="M64" s="59"/>
      <c r="N64" s="60"/>
      <c r="O64" s="61">
        <v>0</v>
      </c>
      <c r="P64" s="61">
        <v>9500</v>
      </c>
      <c r="Q64" s="62">
        <v>8011.9400000000005</v>
      </c>
      <c r="R64" s="63">
        <v>0.84336210526315791</v>
      </c>
      <c r="S64" s="62">
        <v>1488.0599999999995</v>
      </c>
      <c r="T64" s="64"/>
      <c r="U64" s="65">
        <v>713.15</v>
      </c>
      <c r="V64" s="66">
        <v>983.12</v>
      </c>
      <c r="W64" s="67">
        <v>837.81</v>
      </c>
      <c r="X64" s="68">
        <v>2534.08</v>
      </c>
      <c r="Y64" s="69"/>
      <c r="Z64" s="70">
        <v>1124.44</v>
      </c>
      <c r="AA64" s="71">
        <v>1087.25</v>
      </c>
      <c r="AB64" s="71">
        <v>661.03</v>
      </c>
      <c r="AC64" s="72">
        <v>2872.7200000000003</v>
      </c>
      <c r="AD64" s="69"/>
      <c r="AE64" s="70">
        <v>381.45</v>
      </c>
      <c r="AF64" s="71">
        <v>1316.64</v>
      </c>
      <c r="AG64" s="71">
        <v>907.05</v>
      </c>
      <c r="AH64" s="72">
        <v>2605.1400000000003</v>
      </c>
      <c r="AI64" s="69"/>
      <c r="AJ64" s="70"/>
      <c r="AK64" s="71"/>
      <c r="AL64" s="71"/>
      <c r="AM64" s="72">
        <v>0</v>
      </c>
      <c r="AN64" s="69"/>
      <c r="AO64" s="450">
        <v>8011.9400000000005</v>
      </c>
    </row>
    <row r="65" spans="2:41" ht="16.5" hidden="1" thickBot="1" x14ac:dyDescent="0.3">
      <c r="B65" s="50" t="s">
        <v>93</v>
      </c>
      <c r="C65" s="76"/>
      <c r="D65" s="101"/>
      <c r="E65" s="101">
        <v>15500</v>
      </c>
      <c r="F65" s="101">
        <v>110650</v>
      </c>
      <c r="G65" s="53"/>
      <c r="H65" s="102">
        <v>38000</v>
      </c>
      <c r="I65" s="103">
        <v>25460</v>
      </c>
      <c r="J65" s="104">
        <v>12540</v>
      </c>
      <c r="K65" s="57"/>
      <c r="L65" s="58"/>
      <c r="M65" s="59"/>
      <c r="N65" s="60"/>
      <c r="O65" s="61">
        <v>0</v>
      </c>
      <c r="P65" s="61">
        <v>38000</v>
      </c>
      <c r="Q65" s="62">
        <v>38000</v>
      </c>
      <c r="R65" s="106">
        <v>1</v>
      </c>
      <c r="S65" s="105">
        <v>0</v>
      </c>
      <c r="T65" s="64"/>
      <c r="U65" s="65"/>
      <c r="V65" s="66">
        <v>38000</v>
      </c>
      <c r="W65" s="67"/>
      <c r="X65" s="107">
        <v>38000</v>
      </c>
      <c r="Y65" s="69"/>
      <c r="Z65" s="70"/>
      <c r="AA65" s="71"/>
      <c r="AB65" s="71"/>
      <c r="AC65" s="72">
        <v>0</v>
      </c>
      <c r="AD65" s="69"/>
      <c r="AE65" s="453"/>
      <c r="AF65" s="454"/>
      <c r="AG65" s="454"/>
      <c r="AH65" s="72">
        <v>0</v>
      </c>
      <c r="AI65" s="69"/>
      <c r="AJ65" s="70"/>
      <c r="AK65" s="71"/>
      <c r="AL65" s="71"/>
      <c r="AM65" s="72">
        <v>0</v>
      </c>
      <c r="AN65" s="69"/>
      <c r="AO65" s="455">
        <v>38000</v>
      </c>
    </row>
    <row r="66" spans="2:41" ht="16.5" thickBot="1" x14ac:dyDescent="0.3">
      <c r="B66" s="108" t="s">
        <v>94</v>
      </c>
      <c r="C66" s="109"/>
      <c r="D66" s="110">
        <v>1110566.78</v>
      </c>
      <c r="E66" s="110">
        <v>1622649.07</v>
      </c>
      <c r="F66" s="110">
        <v>1946494.4499999997</v>
      </c>
      <c r="G66" s="110"/>
      <c r="H66" s="111">
        <v>2152236.6382344002</v>
      </c>
      <c r="I66" s="111">
        <v>1289637.3540520719</v>
      </c>
      <c r="J66" s="111">
        <v>865764.28418232815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2152236.6382344002</v>
      </c>
      <c r="Q66" s="111">
        <v>1580386.052164</v>
      </c>
      <c r="R66" s="461">
        <v>0.7342993907307882</v>
      </c>
      <c r="S66" s="111">
        <v>571850.58607040008</v>
      </c>
      <c r="T66" s="64"/>
      <c r="U66" s="112">
        <v>292828.03318399988</v>
      </c>
      <c r="V66" s="112">
        <v>295734.76759500004</v>
      </c>
      <c r="W66" s="112">
        <v>265029.42240499996</v>
      </c>
      <c r="X66" s="111">
        <v>564148.56716400001</v>
      </c>
      <c r="Y66" s="69"/>
      <c r="Z66" s="112">
        <v>282862.02699999989</v>
      </c>
      <c r="AA66" s="112">
        <v>276705.59416800016</v>
      </c>
      <c r="AB66" s="112">
        <v>261428.75625199999</v>
      </c>
      <c r="AC66" s="111">
        <v>510272.30600999994</v>
      </c>
      <c r="AD66" s="69"/>
      <c r="AE66" s="111">
        <v>174418.16999000002</v>
      </c>
      <c r="AF66" s="111">
        <v>149542.34555999999</v>
      </c>
      <c r="AG66" s="111">
        <v>182004.66343999997</v>
      </c>
      <c r="AH66" s="111">
        <v>505965.17899000004</v>
      </c>
      <c r="AI66" s="69"/>
      <c r="AJ66" s="456">
        <v>0</v>
      </c>
      <c r="AK66" s="457">
        <v>0</v>
      </c>
      <c r="AL66" s="458">
        <v>0</v>
      </c>
      <c r="AM66" s="112">
        <v>0</v>
      </c>
      <c r="AN66" s="69"/>
      <c r="AO66" s="459">
        <v>1580386.052164</v>
      </c>
    </row>
  </sheetData>
  <mergeCells count="2">
    <mergeCell ref="H2:J2"/>
    <mergeCell ref="U1:AH1"/>
  </mergeCells>
  <pageMargins left="0.25" right="0.25" top="0.25" bottom="0.25" header="0" footer="0"/>
  <pageSetup scale="5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4EA1-2377-6446-BD02-D1B3DA10B926}">
  <sheetPr>
    <pageSetUpPr fitToPage="1"/>
  </sheetPr>
  <dimension ref="A1:AD59"/>
  <sheetViews>
    <sheetView topLeftCell="A20" zoomScale="105" zoomScaleNormal="105" workbookViewId="0">
      <selection activeCell="M1" sqref="M1:M1048576"/>
    </sheetView>
  </sheetViews>
  <sheetFormatPr defaultColWidth="11.5" defaultRowHeight="15.75" x14ac:dyDescent="0.25"/>
  <cols>
    <col min="1" max="1" width="1.75" customWidth="1"/>
    <col min="2" max="2" width="48.25" bestFit="1" customWidth="1"/>
    <col min="3" max="3" width="22.25" bestFit="1" customWidth="1"/>
    <col min="4" max="4" width="14" customWidth="1"/>
    <col min="5" max="10" width="13.75" hidden="1" customWidth="1"/>
    <col min="11" max="12" width="14" bestFit="1" customWidth="1"/>
    <col min="13" max="13" width="1.75" customWidth="1"/>
    <col min="14" max="14" width="12.5" style="114" hidden="1" customWidth="1"/>
    <col min="15" max="19" width="12.5" hidden="1" customWidth="1"/>
    <col min="20" max="20" width="12.5" bestFit="1" customWidth="1"/>
    <col min="21" max="21" width="14" bestFit="1" customWidth="1"/>
    <col min="22" max="22" width="12.5" bestFit="1" customWidth="1"/>
    <col min="23" max="23" width="8.25" hidden="1" customWidth="1"/>
    <col min="24" max="24" width="8.75" hidden="1" customWidth="1"/>
    <col min="25" max="25" width="8.25" hidden="1" customWidth="1"/>
    <col min="26" max="26" width="1.75" customWidth="1"/>
    <col min="27" max="27" width="14" bestFit="1" customWidth="1"/>
    <col min="28" max="28" width="12.5" bestFit="1" customWidth="1"/>
    <col min="29" max="29" width="7.5" style="16" bestFit="1" customWidth="1"/>
    <col min="30" max="30" width="14" bestFit="1" customWidth="1"/>
  </cols>
  <sheetData>
    <row r="1" spans="1:30" s="115" customFormat="1" ht="21" thickBot="1" x14ac:dyDescent="0.35"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  <c r="AD1" s="116"/>
    </row>
    <row r="2" spans="1:30" ht="57" thickBot="1" x14ac:dyDescent="0.35">
      <c r="A2" s="118"/>
      <c r="B2" s="119" t="s">
        <v>95</v>
      </c>
      <c r="C2" s="120"/>
      <c r="D2" s="119" t="s">
        <v>96</v>
      </c>
      <c r="E2" s="121" t="s">
        <v>12</v>
      </c>
      <c r="F2" s="122" t="s">
        <v>13</v>
      </c>
      <c r="G2" s="123" t="s">
        <v>14</v>
      </c>
      <c r="H2" s="124" t="s">
        <v>15</v>
      </c>
      <c r="I2" s="125" t="s">
        <v>97</v>
      </c>
      <c r="J2" s="126" t="s">
        <v>98</v>
      </c>
      <c r="K2" s="127" t="s">
        <v>171</v>
      </c>
      <c r="L2" s="519" t="s">
        <v>99</v>
      </c>
      <c r="M2" s="128"/>
      <c r="N2" s="129">
        <v>44761</v>
      </c>
      <c r="O2" s="129">
        <v>44792</v>
      </c>
      <c r="P2" s="130">
        <v>44823</v>
      </c>
      <c r="Q2" s="131">
        <v>44488</v>
      </c>
      <c r="R2" s="131">
        <v>44519</v>
      </c>
      <c r="S2" s="132">
        <v>44549</v>
      </c>
      <c r="T2" s="131">
        <v>44581</v>
      </c>
      <c r="U2" s="131">
        <v>44612</v>
      </c>
      <c r="V2" s="131">
        <v>44640</v>
      </c>
      <c r="W2" s="133">
        <v>44671</v>
      </c>
      <c r="X2" s="131">
        <v>44701</v>
      </c>
      <c r="Y2" s="131">
        <v>44732</v>
      </c>
      <c r="AA2" s="134" t="s">
        <v>100</v>
      </c>
      <c r="AB2" s="135" t="s">
        <v>101</v>
      </c>
      <c r="AC2" s="136" t="s">
        <v>102</v>
      </c>
      <c r="AD2" s="134" t="s">
        <v>103</v>
      </c>
    </row>
    <row r="3" spans="1:30" ht="16.5" thickBot="1" x14ac:dyDescent="0.3">
      <c r="A3" s="137"/>
      <c r="B3" s="138" t="s">
        <v>104</v>
      </c>
      <c r="C3" s="139"/>
      <c r="D3" s="139"/>
      <c r="E3" s="140"/>
      <c r="F3" s="140"/>
      <c r="G3" s="140"/>
      <c r="H3" s="140"/>
      <c r="I3" s="140"/>
      <c r="J3" s="138"/>
      <c r="K3" s="144"/>
      <c r="L3" s="139"/>
      <c r="M3" s="141"/>
      <c r="N3" s="141"/>
      <c r="O3" s="141"/>
      <c r="P3" s="141"/>
      <c r="Q3" s="139"/>
      <c r="R3" s="139"/>
      <c r="S3" s="138"/>
      <c r="T3" s="142"/>
      <c r="U3" s="141"/>
      <c r="V3" s="143"/>
      <c r="W3" s="141"/>
      <c r="X3" s="141"/>
      <c r="Y3" s="141"/>
      <c r="Z3" s="141"/>
      <c r="AA3" s="144"/>
      <c r="AB3" s="144"/>
      <c r="AC3" s="145"/>
      <c r="AD3" s="144"/>
    </row>
    <row r="4" spans="1:30" x14ac:dyDescent="0.25">
      <c r="A4" s="118"/>
      <c r="B4" s="146" t="s">
        <v>105</v>
      </c>
      <c r="C4" s="147"/>
      <c r="D4" s="148">
        <v>55692.5</v>
      </c>
      <c r="E4" s="149"/>
      <c r="F4" s="150"/>
      <c r="G4" s="151"/>
      <c r="H4" s="152"/>
      <c r="I4" s="153"/>
      <c r="J4" s="154"/>
      <c r="K4" s="307">
        <f>SUM(E4:J4)</f>
        <v>0</v>
      </c>
      <c r="L4" s="520">
        <f t="shared" ref="L4:L10" si="0">SUM(D4:J4)</f>
        <v>55692.5</v>
      </c>
      <c r="M4" s="155"/>
      <c r="N4" s="156">
        <v>55692.5</v>
      </c>
      <c r="O4" s="157"/>
      <c r="P4" s="158"/>
      <c r="Q4" s="159"/>
      <c r="R4" s="160"/>
      <c r="S4" s="161"/>
      <c r="T4" s="159"/>
      <c r="U4" s="160"/>
      <c r="V4" s="162"/>
      <c r="W4" s="163"/>
      <c r="X4" s="160"/>
      <c r="Y4" s="162"/>
      <c r="AA4" s="164">
        <f>SUM(N4:Z4)</f>
        <v>55692.5</v>
      </c>
      <c r="AB4" s="165"/>
      <c r="AC4" s="166">
        <f t="shared" ref="AC4:AC10" si="1">SUM(AA4:AB4)/L4</f>
        <v>1</v>
      </c>
      <c r="AD4" s="167">
        <f t="shared" ref="AD4:AD10" si="2">+L4-AA4-AB4</f>
        <v>0</v>
      </c>
    </row>
    <row r="5" spans="1:30" x14ac:dyDescent="0.25">
      <c r="A5" s="118"/>
      <c r="B5" s="168" t="s">
        <v>106</v>
      </c>
      <c r="C5" s="169"/>
      <c r="D5" s="170">
        <v>53955</v>
      </c>
      <c r="E5" s="171"/>
      <c r="F5" s="172"/>
      <c r="G5" s="173"/>
      <c r="H5" s="174"/>
      <c r="I5" s="175"/>
      <c r="J5" s="176"/>
      <c r="K5" s="243">
        <f t="shared" ref="K5:K10" si="3">SUM(E5:J5)</f>
        <v>0</v>
      </c>
      <c r="L5" s="521">
        <f t="shared" si="0"/>
        <v>53955</v>
      </c>
      <c r="M5" s="155"/>
      <c r="N5" s="177"/>
      <c r="O5" s="178">
        <v>43164</v>
      </c>
      <c r="P5" s="179"/>
      <c r="Q5" s="177"/>
      <c r="R5" s="178"/>
      <c r="S5" s="179"/>
      <c r="T5" s="177"/>
      <c r="U5" s="178"/>
      <c r="V5" s="180"/>
      <c r="W5" s="181"/>
      <c r="X5" s="178"/>
      <c r="Y5" s="180"/>
      <c r="AA5" s="182">
        <f t="shared" ref="AA5:AA10" si="4">SUM(N5:Z5)</f>
        <v>43164</v>
      </c>
      <c r="AB5" s="183"/>
      <c r="AC5" s="166">
        <f t="shared" si="1"/>
        <v>0.8</v>
      </c>
      <c r="AD5" s="184">
        <f t="shared" si="2"/>
        <v>10791</v>
      </c>
    </row>
    <row r="6" spans="1:30" x14ac:dyDescent="0.25">
      <c r="A6" s="118"/>
      <c r="B6" s="168" t="s">
        <v>107</v>
      </c>
      <c r="C6" s="169"/>
      <c r="D6" s="170">
        <v>9010</v>
      </c>
      <c r="E6" s="171"/>
      <c r="F6" s="172"/>
      <c r="G6" s="173"/>
      <c r="H6" s="174"/>
      <c r="I6" s="175"/>
      <c r="J6" s="176"/>
      <c r="K6" s="243">
        <f t="shared" si="3"/>
        <v>0</v>
      </c>
      <c r="L6" s="521">
        <f t="shared" si="0"/>
        <v>9010</v>
      </c>
      <c r="M6" s="155"/>
      <c r="N6" s="177">
        <v>9010</v>
      </c>
      <c r="O6" s="178"/>
      <c r="P6" s="179"/>
      <c r="Q6" s="177"/>
      <c r="R6" s="178"/>
      <c r="S6" s="179"/>
      <c r="T6" s="177"/>
      <c r="U6" s="178"/>
      <c r="V6" s="180"/>
      <c r="W6" s="181"/>
      <c r="X6" s="178"/>
      <c r="Y6" s="180"/>
      <c r="AA6" s="182">
        <f t="shared" si="4"/>
        <v>9010</v>
      </c>
      <c r="AB6" s="183"/>
      <c r="AC6" s="166">
        <f t="shared" si="1"/>
        <v>1</v>
      </c>
      <c r="AD6" s="184">
        <f t="shared" si="2"/>
        <v>0</v>
      </c>
    </row>
    <row r="7" spans="1:30" x14ac:dyDescent="0.25">
      <c r="A7" s="118"/>
      <c r="B7" s="185" t="s">
        <v>108</v>
      </c>
      <c r="C7" s="186"/>
      <c r="D7" s="170">
        <v>1405</v>
      </c>
      <c r="E7" s="171"/>
      <c r="F7" s="172"/>
      <c r="G7" s="173"/>
      <c r="H7" s="174"/>
      <c r="I7" s="175"/>
      <c r="J7" s="176"/>
      <c r="K7" s="243">
        <f t="shared" si="3"/>
        <v>0</v>
      </c>
      <c r="L7" s="521">
        <f t="shared" si="0"/>
        <v>1405</v>
      </c>
      <c r="M7" s="155"/>
      <c r="N7" s="177">
        <v>1405</v>
      </c>
      <c r="O7" s="178"/>
      <c r="P7" s="179"/>
      <c r="Q7" s="177"/>
      <c r="R7" s="178"/>
      <c r="S7" s="179"/>
      <c r="T7" s="177"/>
      <c r="U7" s="178"/>
      <c r="V7" s="180"/>
      <c r="W7" s="181"/>
      <c r="X7" s="178"/>
      <c r="Y7" s="180"/>
      <c r="AA7" s="182">
        <f t="shared" si="4"/>
        <v>1405</v>
      </c>
      <c r="AB7" s="183"/>
      <c r="AC7" s="166">
        <f t="shared" si="1"/>
        <v>1</v>
      </c>
      <c r="AD7" s="184">
        <f t="shared" si="2"/>
        <v>0</v>
      </c>
    </row>
    <row r="8" spans="1:30" x14ac:dyDescent="0.25">
      <c r="A8" s="118"/>
      <c r="B8" s="185" t="s">
        <v>109</v>
      </c>
      <c r="C8" s="186"/>
      <c r="D8" s="170">
        <v>1053.75</v>
      </c>
      <c r="E8" s="171"/>
      <c r="F8" s="172"/>
      <c r="G8" s="173"/>
      <c r="H8" s="174"/>
      <c r="I8" s="175"/>
      <c r="J8" s="176"/>
      <c r="K8" s="243">
        <f t="shared" si="3"/>
        <v>0</v>
      </c>
      <c r="L8" s="521">
        <f t="shared" si="0"/>
        <v>1053.75</v>
      </c>
      <c r="M8" s="155"/>
      <c r="N8" s="177">
        <v>1053.75</v>
      </c>
      <c r="O8" s="178"/>
      <c r="P8" s="179"/>
      <c r="Q8" s="177"/>
      <c r="R8" s="178"/>
      <c r="S8" s="179"/>
      <c r="T8" s="177"/>
      <c r="U8" s="178"/>
      <c r="V8" s="180"/>
      <c r="W8" s="181"/>
      <c r="X8" s="178"/>
      <c r="Y8" s="180"/>
      <c r="AA8" s="182">
        <f t="shared" si="4"/>
        <v>1053.75</v>
      </c>
      <c r="AB8" s="183"/>
      <c r="AC8" s="166">
        <f t="shared" si="1"/>
        <v>1</v>
      </c>
      <c r="AD8" s="184">
        <f t="shared" si="2"/>
        <v>0</v>
      </c>
    </row>
    <row r="9" spans="1:30" x14ac:dyDescent="0.25">
      <c r="A9" s="118"/>
      <c r="B9" s="185" t="s">
        <v>110</v>
      </c>
      <c r="C9" s="186"/>
      <c r="D9" s="170">
        <v>5850</v>
      </c>
      <c r="E9" s="171"/>
      <c r="F9" s="172"/>
      <c r="G9" s="173"/>
      <c r="H9" s="174"/>
      <c r="I9" s="175"/>
      <c r="J9" s="176"/>
      <c r="K9" s="243">
        <f t="shared" si="3"/>
        <v>0</v>
      </c>
      <c r="L9" s="521">
        <f t="shared" si="0"/>
        <v>5850</v>
      </c>
      <c r="M9" s="155"/>
      <c r="N9" s="177">
        <v>5850</v>
      </c>
      <c r="O9" s="178"/>
      <c r="P9" s="179"/>
      <c r="Q9" s="177"/>
      <c r="R9" s="178"/>
      <c r="S9" s="179"/>
      <c r="T9" s="177"/>
      <c r="U9" s="178"/>
      <c r="V9" s="180"/>
      <c r="W9" s="181"/>
      <c r="X9" s="178"/>
      <c r="Y9" s="180"/>
      <c r="AA9" s="182">
        <f t="shared" si="4"/>
        <v>5850</v>
      </c>
      <c r="AB9" s="183"/>
      <c r="AC9" s="166">
        <f t="shared" si="1"/>
        <v>1</v>
      </c>
      <c r="AD9" s="184">
        <f t="shared" si="2"/>
        <v>0</v>
      </c>
    </row>
    <row r="10" spans="1:30" ht="16.5" thickBot="1" x14ac:dyDescent="0.3">
      <c r="A10" s="118"/>
      <c r="B10" s="187" t="s">
        <v>111</v>
      </c>
      <c r="C10" s="188"/>
      <c r="D10" s="189">
        <v>229</v>
      </c>
      <c r="E10" s="190"/>
      <c r="F10" s="191"/>
      <c r="G10" s="192"/>
      <c r="H10" s="193"/>
      <c r="I10" s="194"/>
      <c r="J10" s="195"/>
      <c r="K10" s="246">
        <f t="shared" si="3"/>
        <v>0</v>
      </c>
      <c r="L10" s="522">
        <f t="shared" si="0"/>
        <v>229</v>
      </c>
      <c r="M10" s="196"/>
      <c r="N10" s="197">
        <v>229</v>
      </c>
      <c r="O10" s="198"/>
      <c r="P10" s="199"/>
      <c r="Q10" s="200"/>
      <c r="R10" s="201"/>
      <c r="S10" s="202"/>
      <c r="T10" s="197"/>
      <c r="U10" s="198"/>
      <c r="V10" s="203"/>
      <c r="W10" s="204"/>
      <c r="X10" s="198"/>
      <c r="Y10" s="203"/>
      <c r="AA10" s="182">
        <f t="shared" si="4"/>
        <v>229</v>
      </c>
      <c r="AB10" s="183"/>
      <c r="AC10" s="166">
        <f t="shared" si="1"/>
        <v>1</v>
      </c>
      <c r="AD10" s="184">
        <f t="shared" si="2"/>
        <v>0</v>
      </c>
    </row>
    <row r="11" spans="1:30" s="217" customFormat="1" thickBot="1" x14ac:dyDescent="0.3">
      <c r="A11" s="137"/>
      <c r="B11" s="205" t="s">
        <v>112</v>
      </c>
      <c r="C11" s="206"/>
      <c r="D11" s="207">
        <f>SUM(D4:D10)</f>
        <v>127195.25</v>
      </c>
      <c r="E11" s="208">
        <f t="shared" ref="E11:L11" si="5">SUM(E4:E10)</f>
        <v>0</v>
      </c>
      <c r="F11" s="209">
        <f t="shared" si="5"/>
        <v>0</v>
      </c>
      <c r="G11" s="210">
        <f t="shared" si="5"/>
        <v>0</v>
      </c>
      <c r="H11" s="211">
        <f t="shared" si="5"/>
        <v>0</v>
      </c>
      <c r="I11" s="212">
        <f t="shared" si="5"/>
        <v>0</v>
      </c>
      <c r="J11" s="213">
        <f t="shared" si="5"/>
        <v>0</v>
      </c>
      <c r="K11" s="318"/>
      <c r="L11" s="314">
        <f t="shared" si="5"/>
        <v>127195.25</v>
      </c>
      <c r="M11" s="214"/>
      <c r="N11" s="207">
        <f t="shared" ref="N11:Y11" si="6">SUM(N4:N10)</f>
        <v>73240.25</v>
      </c>
      <c r="O11" s="207">
        <f t="shared" si="6"/>
        <v>43164</v>
      </c>
      <c r="P11" s="207">
        <f t="shared" si="6"/>
        <v>0</v>
      </c>
      <c r="Q11" s="207">
        <f t="shared" si="6"/>
        <v>0</v>
      </c>
      <c r="R11" s="207">
        <f t="shared" si="6"/>
        <v>0</v>
      </c>
      <c r="S11" s="215">
        <f t="shared" si="6"/>
        <v>0</v>
      </c>
      <c r="T11" s="207">
        <f t="shared" si="6"/>
        <v>0</v>
      </c>
      <c r="U11" s="207">
        <f t="shared" si="6"/>
        <v>0</v>
      </c>
      <c r="V11" s="207">
        <f t="shared" si="6"/>
        <v>0</v>
      </c>
      <c r="W11" s="216">
        <f t="shared" si="6"/>
        <v>0</v>
      </c>
      <c r="X11" s="207">
        <f t="shared" si="6"/>
        <v>0</v>
      </c>
      <c r="Y11" s="207">
        <f t="shared" si="6"/>
        <v>0</v>
      </c>
      <c r="AA11" s="208">
        <f t="shared" ref="AA11:AB11" si="7">SUM(AA4:AA10)</f>
        <v>116404.25</v>
      </c>
      <c r="AB11" s="207">
        <f t="shared" si="7"/>
        <v>0</v>
      </c>
      <c r="AC11" s="218">
        <f>SUM(AC4:AC10)/7</f>
        <v>0.97142857142857142</v>
      </c>
      <c r="AD11" s="207">
        <f>SUM(AD4:AD10)</f>
        <v>10791</v>
      </c>
    </row>
    <row r="12" spans="1:30" ht="16.5" thickBot="1" x14ac:dyDescent="0.3">
      <c r="A12" s="137"/>
      <c r="B12" s="142" t="s">
        <v>113</v>
      </c>
      <c r="C12" s="141"/>
      <c r="D12" s="141"/>
      <c r="E12" s="141"/>
      <c r="F12" s="141"/>
      <c r="G12" s="141"/>
      <c r="H12" s="141"/>
      <c r="I12" s="141"/>
      <c r="J12" s="141"/>
      <c r="K12" s="142"/>
      <c r="L12" s="142"/>
      <c r="M12" s="141"/>
      <c r="N12" s="141"/>
      <c r="O12" s="141"/>
      <c r="P12" s="141"/>
      <c r="Q12" s="141"/>
      <c r="R12" s="141"/>
      <c r="S12" s="141"/>
      <c r="T12" s="142"/>
      <c r="U12" s="141"/>
      <c r="V12" s="143"/>
      <c r="W12" s="141"/>
      <c r="X12" s="141"/>
      <c r="Y12" s="141"/>
      <c r="Z12" s="141"/>
      <c r="AA12" s="144"/>
      <c r="AB12" s="144"/>
      <c r="AC12" s="145"/>
      <c r="AD12" s="144"/>
    </row>
    <row r="13" spans="1:30" ht="16.5" thickBot="1" x14ac:dyDescent="0.3">
      <c r="A13" s="118"/>
      <c r="B13" s="219">
        <v>5311</v>
      </c>
      <c r="C13" s="220"/>
      <c r="D13" s="221"/>
      <c r="E13" s="221"/>
      <c r="F13" s="221"/>
      <c r="G13" s="221"/>
      <c r="H13" s="221"/>
      <c r="I13" s="221"/>
      <c r="J13" s="221"/>
      <c r="K13" s="220"/>
      <c r="L13" s="220"/>
      <c r="M13" s="221"/>
      <c r="N13" s="221"/>
      <c r="O13" s="221"/>
      <c r="P13" s="221"/>
      <c r="Q13" s="221"/>
      <c r="R13" s="221"/>
      <c r="S13" s="221"/>
      <c r="T13" s="220"/>
      <c r="U13" s="221"/>
      <c r="V13" s="222"/>
      <c r="W13" s="221"/>
      <c r="X13" s="221"/>
      <c r="Y13" s="221"/>
      <c r="Z13" s="221"/>
      <c r="AA13" s="223"/>
      <c r="AB13" s="223"/>
      <c r="AC13" s="221"/>
      <c r="AD13" s="223"/>
    </row>
    <row r="14" spans="1:30" x14ac:dyDescent="0.25">
      <c r="A14" s="137"/>
      <c r="B14" s="224" t="s">
        <v>114</v>
      </c>
      <c r="C14" s="225" t="s">
        <v>115</v>
      </c>
      <c r="D14" s="152">
        <v>725000</v>
      </c>
      <c r="E14" s="226"/>
      <c r="F14" s="227"/>
      <c r="G14" s="228"/>
      <c r="H14" s="229"/>
      <c r="I14" s="230"/>
      <c r="J14" s="231"/>
      <c r="K14" s="174"/>
      <c r="L14" s="526">
        <f t="shared" ref="L14:L20" si="8">SUM(D14:J14)</f>
        <v>725000</v>
      </c>
      <c r="M14" s="83"/>
      <c r="N14" s="232">
        <v>137577</v>
      </c>
      <c r="O14" s="233"/>
      <c r="P14" s="234">
        <v>44343</v>
      </c>
      <c r="Q14" s="232">
        <v>44343</v>
      </c>
      <c r="R14" s="233">
        <v>44343</v>
      </c>
      <c r="S14" s="234">
        <v>44343</v>
      </c>
      <c r="T14" s="232">
        <v>44343</v>
      </c>
      <c r="U14" s="233">
        <v>44343</v>
      </c>
      <c r="V14" s="235">
        <v>44343</v>
      </c>
      <c r="W14" s="236"/>
      <c r="X14" s="233"/>
      <c r="Y14" s="235"/>
      <c r="Z14" s="83"/>
      <c r="AA14" s="237">
        <f t="shared" ref="AA14:AA30" si="9">SUM(N14:Z14)</f>
        <v>447978</v>
      </c>
      <c r="AB14" s="238">
        <v>44343</v>
      </c>
      <c r="AC14" s="239">
        <f t="shared" ref="AC14:AC19" si="10">SUM(AA14:AB14)/L14</f>
        <v>0.67906344827586207</v>
      </c>
      <c r="AD14" s="240">
        <f t="shared" ref="AD14:AD20" si="11">+L14-AA14-AB14</f>
        <v>232679</v>
      </c>
    </row>
    <row r="15" spans="1:30" x14ac:dyDescent="0.25">
      <c r="A15" s="118"/>
      <c r="B15" s="241" t="s">
        <v>116</v>
      </c>
      <c r="C15" s="242" t="s">
        <v>117</v>
      </c>
      <c r="D15" s="243">
        <v>171452.7</v>
      </c>
      <c r="E15" s="171"/>
      <c r="F15" s="172"/>
      <c r="G15" s="173"/>
      <c r="H15" s="174"/>
      <c r="I15" s="175"/>
      <c r="J15" s="176"/>
      <c r="K15" s="243">
        <f t="shared" ref="K15:K20" si="12">SUM(E15:J15)</f>
        <v>0</v>
      </c>
      <c r="L15" s="523">
        <f t="shared" si="8"/>
        <v>171452.7</v>
      </c>
      <c r="M15" s="155"/>
      <c r="N15" s="177">
        <f>8634.4+35283.76+4385.42</f>
        <v>48303.58</v>
      </c>
      <c r="O15" s="178">
        <f>33479.88+10993.98+18487.94</f>
        <v>62961.8</v>
      </c>
      <c r="P15" s="179">
        <v>33131.11</v>
      </c>
      <c r="Q15" s="177">
        <v>27056.240000000002</v>
      </c>
      <c r="R15" s="178"/>
      <c r="S15" s="179"/>
      <c r="T15" s="177"/>
      <c r="U15" s="178"/>
      <c r="V15" s="180"/>
      <c r="W15" s="181"/>
      <c r="X15" s="178"/>
      <c r="Y15" s="180"/>
      <c r="AA15" s="182">
        <f t="shared" si="9"/>
        <v>171452.72999999998</v>
      </c>
      <c r="AB15" s="183"/>
      <c r="AC15" s="166">
        <f t="shared" si="10"/>
        <v>1.000000174975372</v>
      </c>
      <c r="AD15" s="184">
        <f t="shared" si="11"/>
        <v>-2.9999999969732016E-2</v>
      </c>
    </row>
    <row r="16" spans="1:30" x14ac:dyDescent="0.25">
      <c r="A16" s="118"/>
      <c r="B16" s="241" t="s">
        <v>116</v>
      </c>
      <c r="C16" s="242" t="s">
        <v>118</v>
      </c>
      <c r="D16" s="243">
        <v>99274.67</v>
      </c>
      <c r="E16" s="171"/>
      <c r="F16" s="172"/>
      <c r="G16" s="173">
        <v>102120.38</v>
      </c>
      <c r="H16" s="174"/>
      <c r="I16" s="175"/>
      <c r="J16" s="176"/>
      <c r="K16" s="243">
        <f t="shared" si="12"/>
        <v>102120.38</v>
      </c>
      <c r="L16" s="523">
        <f t="shared" si="8"/>
        <v>201395.05</v>
      </c>
      <c r="M16" s="155"/>
      <c r="N16" s="177">
        <f>4008.44+17938.29+2241.22</f>
        <v>24187.95</v>
      </c>
      <c r="O16" s="178">
        <f>19988.28+4879.77+9753.09</f>
        <v>34621.14</v>
      </c>
      <c r="P16" s="179">
        <v>20232.82</v>
      </c>
      <c r="Q16" s="177">
        <v>122353.14</v>
      </c>
      <c r="R16" s="178"/>
      <c r="S16" s="179"/>
      <c r="T16" s="177"/>
      <c r="U16" s="178"/>
      <c r="V16" s="180"/>
      <c r="W16" s="181"/>
      <c r="X16" s="178"/>
      <c r="Y16" s="180"/>
      <c r="AA16" s="182">
        <f t="shared" si="9"/>
        <v>201395.05</v>
      </c>
      <c r="AB16" s="183"/>
      <c r="AC16" s="166">
        <f t="shared" si="10"/>
        <v>1</v>
      </c>
      <c r="AD16" s="184">
        <f t="shared" si="11"/>
        <v>0</v>
      </c>
    </row>
    <row r="17" spans="1:30" x14ac:dyDescent="0.25">
      <c r="A17" s="118"/>
      <c r="B17" s="241" t="s">
        <v>119</v>
      </c>
      <c r="C17" s="242" t="s">
        <v>120</v>
      </c>
      <c r="D17" s="243">
        <f>(597817.56+141500)/2</f>
        <v>369658.78</v>
      </c>
      <c r="E17" s="171">
        <v>71799.149999999994</v>
      </c>
      <c r="F17" s="172"/>
      <c r="G17" s="173"/>
      <c r="H17" s="174"/>
      <c r="I17" s="175"/>
      <c r="J17" s="176"/>
      <c r="K17" s="243">
        <f t="shared" si="12"/>
        <v>71799.149999999994</v>
      </c>
      <c r="L17" s="523">
        <f t="shared" si="8"/>
        <v>441457.93000000005</v>
      </c>
      <c r="M17" s="155"/>
      <c r="N17" s="177"/>
      <c r="O17" s="178"/>
      <c r="P17" s="179"/>
      <c r="Q17" s="177"/>
      <c r="R17" s="178">
        <f>8622.31+28587.46</f>
        <v>37209.769999999997</v>
      </c>
      <c r="S17" s="179">
        <v>39526</v>
      </c>
      <c r="T17" s="177">
        <v>35454.69</v>
      </c>
      <c r="U17" s="178">
        <f>37886.09</f>
        <v>37886.089999999997</v>
      </c>
      <c r="V17" s="180">
        <v>35081.53</v>
      </c>
      <c r="W17" s="181"/>
      <c r="X17" s="178"/>
      <c r="Y17" s="180"/>
      <c r="AA17" s="182">
        <f t="shared" si="9"/>
        <v>185158.08</v>
      </c>
      <c r="AB17" s="183">
        <f>8131.23+25696.26</f>
        <v>33827.49</v>
      </c>
      <c r="AC17" s="166">
        <f t="shared" si="10"/>
        <v>0.49605082414081891</v>
      </c>
      <c r="AD17" s="184">
        <f t="shared" si="11"/>
        <v>222472.36000000007</v>
      </c>
    </row>
    <row r="18" spans="1:30" x14ac:dyDescent="0.25">
      <c r="A18" s="118"/>
      <c r="B18" s="241" t="s">
        <v>119</v>
      </c>
      <c r="C18" s="242" t="s">
        <v>121</v>
      </c>
      <c r="D18" s="243">
        <f>(597817.56+141500)/2</f>
        <v>369658.78</v>
      </c>
      <c r="E18" s="171">
        <v>-131950.67000000001</v>
      </c>
      <c r="F18" s="172"/>
      <c r="G18" s="173"/>
      <c r="H18" s="174"/>
      <c r="I18" s="175"/>
      <c r="J18" s="176"/>
      <c r="K18" s="243">
        <f t="shared" si="12"/>
        <v>-131950.67000000001</v>
      </c>
      <c r="L18" s="523">
        <f t="shared" si="8"/>
        <v>237708.11000000002</v>
      </c>
      <c r="M18" s="155"/>
      <c r="N18" s="177"/>
      <c r="O18" s="178"/>
      <c r="P18" s="179"/>
      <c r="Q18" s="177"/>
      <c r="R18" s="178">
        <f>5027.3+18376.09</f>
        <v>23403.39</v>
      </c>
      <c r="S18" s="179">
        <v>17826.23</v>
      </c>
      <c r="T18" s="177">
        <v>16768.59</v>
      </c>
      <c r="U18" s="178">
        <v>19378.21</v>
      </c>
      <c r="V18" s="180">
        <v>17152.89</v>
      </c>
      <c r="W18" s="181"/>
      <c r="X18" s="178"/>
      <c r="Y18" s="180"/>
      <c r="AA18" s="182">
        <f t="shared" ref="AA18" si="13">SUM(N18:Z18)</f>
        <v>94529.309999999983</v>
      </c>
      <c r="AB18" s="183">
        <f>4074.36+14831.2</f>
        <v>18905.560000000001</v>
      </c>
      <c r="AC18" s="166">
        <f t="shared" si="10"/>
        <v>0.47720235544340484</v>
      </c>
      <c r="AD18" s="184">
        <f t="shared" si="11"/>
        <v>124273.24000000005</v>
      </c>
    </row>
    <row r="19" spans="1:30" x14ac:dyDescent="0.25">
      <c r="A19" s="118"/>
      <c r="B19" s="241" t="s">
        <v>122</v>
      </c>
      <c r="C19" s="242"/>
      <c r="D19" s="243">
        <v>0</v>
      </c>
      <c r="E19" s="171">
        <v>1627.4</v>
      </c>
      <c r="F19" s="172"/>
      <c r="G19" s="173"/>
      <c r="H19" s="174"/>
      <c r="I19" s="175"/>
      <c r="J19" s="176"/>
      <c r="K19" s="243">
        <f t="shared" si="12"/>
        <v>1627.4</v>
      </c>
      <c r="L19" s="523">
        <f t="shared" si="8"/>
        <v>1627.4</v>
      </c>
      <c r="M19" s="155"/>
      <c r="N19" s="177"/>
      <c r="O19" s="178">
        <v>1627.4</v>
      </c>
      <c r="P19" s="179"/>
      <c r="Q19" s="177"/>
      <c r="R19" s="178"/>
      <c r="S19" s="179"/>
      <c r="T19" s="177"/>
      <c r="U19" s="178"/>
      <c r="V19" s="180"/>
      <c r="W19" s="181"/>
      <c r="X19" s="178"/>
      <c r="Y19" s="180"/>
      <c r="AA19" s="182">
        <f t="shared" ref="AA19" si="14">SUM(N19:Z19)</f>
        <v>1627.4</v>
      </c>
      <c r="AB19" s="183"/>
      <c r="AC19" s="166">
        <f t="shared" si="10"/>
        <v>1</v>
      </c>
      <c r="AD19" s="184">
        <f t="shared" si="11"/>
        <v>0</v>
      </c>
    </row>
    <row r="20" spans="1:30" ht="16.5" thickBot="1" x14ac:dyDescent="0.3">
      <c r="A20" s="118"/>
      <c r="B20" s="244" t="s">
        <v>123</v>
      </c>
      <c r="C20" s="245"/>
      <c r="D20" s="246">
        <v>0</v>
      </c>
      <c r="E20" s="247"/>
      <c r="F20" s="248"/>
      <c r="G20" s="249"/>
      <c r="H20" s="250"/>
      <c r="I20" s="251"/>
      <c r="J20" s="252"/>
      <c r="K20" s="243">
        <f t="shared" si="12"/>
        <v>0</v>
      </c>
      <c r="L20" s="524">
        <f t="shared" si="8"/>
        <v>0</v>
      </c>
      <c r="M20" s="155"/>
      <c r="N20" s="197"/>
      <c r="O20" s="198"/>
      <c r="P20" s="199"/>
      <c r="Q20" s="197"/>
      <c r="R20" s="198"/>
      <c r="S20" s="199"/>
      <c r="T20" s="197"/>
      <c r="U20" s="198"/>
      <c r="V20" s="203"/>
      <c r="W20" s="204"/>
      <c r="X20" s="198"/>
      <c r="Y20" s="203"/>
      <c r="AA20" s="253">
        <f t="shared" si="9"/>
        <v>0</v>
      </c>
      <c r="AB20" s="254"/>
      <c r="AC20" s="255">
        <v>0</v>
      </c>
      <c r="AD20" s="256">
        <f t="shared" si="11"/>
        <v>0</v>
      </c>
    </row>
    <row r="21" spans="1:30" s="217" customFormat="1" thickBot="1" x14ac:dyDescent="0.3">
      <c r="A21" s="137"/>
      <c r="B21" s="257" t="s">
        <v>112</v>
      </c>
      <c r="C21" s="258"/>
      <c r="D21" s="207">
        <f>SUM(D14:D20)</f>
        <v>1735044.93</v>
      </c>
      <c r="E21" s="208">
        <f t="shared" ref="E21:J21" si="15">SUM(E14:E20)</f>
        <v>-58524.120000000017</v>
      </c>
      <c r="F21" s="209">
        <f t="shared" si="15"/>
        <v>0</v>
      </c>
      <c r="G21" s="210">
        <f t="shared" si="15"/>
        <v>102120.38</v>
      </c>
      <c r="H21" s="211">
        <f t="shared" si="15"/>
        <v>0</v>
      </c>
      <c r="I21" s="212">
        <f t="shared" si="15"/>
        <v>0</v>
      </c>
      <c r="J21" s="213">
        <f t="shared" si="15"/>
        <v>0</v>
      </c>
      <c r="K21" s="207"/>
      <c r="L21" s="314">
        <f>SUM(L14:L20)</f>
        <v>1778641.1900000002</v>
      </c>
      <c r="M21" s="214"/>
      <c r="N21" s="207">
        <f t="shared" ref="N21:Y21" si="16">SUM(N14:N20)</f>
        <v>210068.53000000003</v>
      </c>
      <c r="O21" s="207">
        <f t="shared" si="16"/>
        <v>99210.34</v>
      </c>
      <c r="P21" s="207">
        <f t="shared" si="16"/>
        <v>97706.93</v>
      </c>
      <c r="Q21" s="207">
        <f t="shared" si="16"/>
        <v>193752.38</v>
      </c>
      <c r="R21" s="207">
        <f t="shared" si="16"/>
        <v>104956.15999999999</v>
      </c>
      <c r="S21" s="215">
        <f t="shared" si="16"/>
        <v>101695.23</v>
      </c>
      <c r="T21" s="207">
        <f t="shared" si="16"/>
        <v>96566.28</v>
      </c>
      <c r="U21" s="207">
        <f t="shared" si="16"/>
        <v>101607.29999999999</v>
      </c>
      <c r="V21" s="207">
        <f t="shared" si="16"/>
        <v>96577.42</v>
      </c>
      <c r="W21" s="216">
        <f t="shared" si="16"/>
        <v>0</v>
      </c>
      <c r="X21" s="207">
        <f t="shared" si="16"/>
        <v>0</v>
      </c>
      <c r="Y21" s="207">
        <f t="shared" si="16"/>
        <v>0</v>
      </c>
      <c r="AA21" s="208">
        <f t="shared" ref="AA21" si="17">SUM(AA14:AA20)</f>
        <v>1102140.5699999998</v>
      </c>
      <c r="AB21" s="207">
        <f>SUM(AB14:AB20)</f>
        <v>97076.049999999988</v>
      </c>
      <c r="AC21" s="218">
        <f>SUM(AC14:AC20)/7</f>
        <v>0.6646166861193511</v>
      </c>
      <c r="AD21" s="207">
        <f>SUM(AD14:AD20)</f>
        <v>579424.57000000007</v>
      </c>
    </row>
    <row r="22" spans="1:30" ht="16.5" thickBot="1" x14ac:dyDescent="0.3">
      <c r="A22" s="118"/>
      <c r="B22" s="259">
        <v>5307</v>
      </c>
      <c r="C22" s="260"/>
      <c r="D22" s="221"/>
      <c r="E22" s="221"/>
      <c r="F22" s="221"/>
      <c r="G22" s="221"/>
      <c r="H22" s="221"/>
      <c r="I22" s="221"/>
      <c r="J22" s="221"/>
      <c r="K22" s="220"/>
      <c r="L22" s="220"/>
      <c r="M22" s="221"/>
      <c r="N22" s="221"/>
      <c r="O22" s="221"/>
      <c r="P22" s="221"/>
      <c r="Q22" s="221"/>
      <c r="R22" s="221"/>
      <c r="S22" s="221"/>
      <c r="T22" s="220"/>
      <c r="U22" s="221"/>
      <c r="V22" s="222"/>
      <c r="W22" s="221"/>
      <c r="X22" s="221"/>
      <c r="Y22" s="221"/>
      <c r="Z22" s="221"/>
      <c r="AA22" s="223"/>
      <c r="AB22" s="223"/>
      <c r="AC22" s="221"/>
      <c r="AD22" s="223"/>
    </row>
    <row r="23" spans="1:30" ht="16.5" thickBot="1" x14ac:dyDescent="0.3">
      <c r="A23" s="118"/>
      <c r="B23" s="261" t="s">
        <v>124</v>
      </c>
      <c r="C23" s="262" t="s">
        <v>125</v>
      </c>
      <c r="D23" s="263">
        <v>49009</v>
      </c>
      <c r="E23" s="264"/>
      <c r="F23" s="265"/>
      <c r="G23" s="266"/>
      <c r="H23" s="267"/>
      <c r="I23" s="268"/>
      <c r="J23" s="269"/>
      <c r="K23" s="243">
        <f t="shared" ref="K23" si="18">SUM(E23:J23)</f>
        <v>0</v>
      </c>
      <c r="L23" s="525">
        <f>SUM(D23:J23)</f>
        <v>49009</v>
      </c>
      <c r="M23" s="155"/>
      <c r="N23" s="270"/>
      <c r="O23" s="271"/>
      <c r="P23" s="272"/>
      <c r="Q23" s="197"/>
      <c r="R23" s="198"/>
      <c r="S23" s="199"/>
      <c r="T23" s="270"/>
      <c r="U23" s="271"/>
      <c r="V23" s="273"/>
      <c r="W23" s="274"/>
      <c r="X23" s="271"/>
      <c r="Y23" s="273"/>
      <c r="AA23" s="275">
        <f t="shared" si="9"/>
        <v>0</v>
      </c>
      <c r="AB23" s="276">
        <v>4084.58</v>
      </c>
      <c r="AC23" s="277">
        <f>SUM(AA23:AB23)/L23</f>
        <v>8.33434675263727E-2</v>
      </c>
      <c r="AD23" s="278">
        <f>+L23-AA23-AB23</f>
        <v>44924.42</v>
      </c>
    </row>
    <row r="24" spans="1:30" ht="16.5" thickBot="1" x14ac:dyDescent="0.3">
      <c r="A24" s="118"/>
      <c r="B24" s="279" t="s">
        <v>126</v>
      </c>
      <c r="C24" s="280"/>
      <c r="D24" s="281"/>
      <c r="E24" s="281"/>
      <c r="F24" s="281"/>
      <c r="G24" s="281"/>
      <c r="H24" s="281"/>
      <c r="I24" s="281"/>
      <c r="J24" s="282"/>
      <c r="K24" s="283"/>
      <c r="L24" s="283"/>
      <c r="M24" s="284"/>
      <c r="N24" s="285"/>
      <c r="O24" s="286"/>
      <c r="P24" s="287"/>
      <c r="Q24" s="285"/>
      <c r="R24" s="286"/>
      <c r="S24" s="287"/>
      <c r="T24" s="285"/>
      <c r="U24" s="286"/>
      <c r="V24" s="288"/>
      <c r="W24" s="289"/>
      <c r="X24" s="286"/>
      <c r="Y24" s="288"/>
      <c r="Z24" s="290"/>
      <c r="AA24" s="291"/>
      <c r="AB24" s="292"/>
      <c r="AC24" s="293"/>
      <c r="AD24" s="294"/>
    </row>
    <row r="25" spans="1:30" x14ac:dyDescent="0.25">
      <c r="A25" s="118"/>
      <c r="B25" s="295" t="s">
        <v>127</v>
      </c>
      <c r="C25" s="296"/>
      <c r="D25" s="297"/>
      <c r="E25" s="226"/>
      <c r="F25" s="227"/>
      <c r="G25" s="228"/>
      <c r="H25" s="229"/>
      <c r="I25" s="230">
        <v>6962</v>
      </c>
      <c r="J25" s="231"/>
      <c r="K25" s="243">
        <f t="shared" ref="K25:K30" si="19">SUM(E25:J25)</f>
        <v>6962</v>
      </c>
      <c r="L25" s="526">
        <f t="shared" ref="L25:L30" si="20">SUM(D25:J25)</f>
        <v>6962</v>
      </c>
      <c r="M25" s="155"/>
      <c r="N25" s="156"/>
      <c r="O25" s="157"/>
      <c r="P25" s="158"/>
      <c r="Q25" s="156"/>
      <c r="R25" s="157"/>
      <c r="S25" s="158"/>
      <c r="T25" s="156"/>
      <c r="U25" s="157"/>
      <c r="V25" s="298"/>
      <c r="W25" s="299"/>
      <c r="X25" s="157"/>
      <c r="Y25" s="298"/>
      <c r="AA25" s="164">
        <f t="shared" ref="AA25:AA29" si="21">SUM(N25:Z25)</f>
        <v>0</v>
      </c>
      <c r="AB25" s="165"/>
      <c r="AC25" s="166">
        <f t="shared" ref="AC25:AC30" si="22">SUM(AA25:AB25)/L25</f>
        <v>0</v>
      </c>
      <c r="AD25" s="167">
        <f t="shared" ref="AD25:AD30" si="23">+L25-AA25-AB25</f>
        <v>6962</v>
      </c>
    </row>
    <row r="26" spans="1:30" x14ac:dyDescent="0.25">
      <c r="A26" s="118"/>
      <c r="B26" s="241" t="s">
        <v>128</v>
      </c>
      <c r="C26" s="242"/>
      <c r="D26" s="243"/>
      <c r="E26" s="171"/>
      <c r="F26" s="172"/>
      <c r="G26" s="173"/>
      <c r="H26" s="174"/>
      <c r="I26" s="175">
        <v>21000</v>
      </c>
      <c r="J26" s="176"/>
      <c r="K26" s="243">
        <f t="shared" si="19"/>
        <v>21000</v>
      </c>
      <c r="L26" s="523">
        <f t="shared" si="20"/>
        <v>21000</v>
      </c>
      <c r="M26" s="155"/>
      <c r="N26" s="177"/>
      <c r="O26" s="178"/>
      <c r="P26" s="179"/>
      <c r="Q26" s="177"/>
      <c r="R26" s="178"/>
      <c r="S26" s="179"/>
      <c r="T26" s="177"/>
      <c r="U26" s="178"/>
      <c r="V26" s="180"/>
      <c r="W26" s="181"/>
      <c r="X26" s="178"/>
      <c r="Y26" s="180"/>
      <c r="AA26" s="182">
        <f t="shared" si="21"/>
        <v>0</v>
      </c>
      <c r="AB26" s="183"/>
      <c r="AC26" s="166">
        <f t="shared" si="22"/>
        <v>0</v>
      </c>
      <c r="AD26" s="184">
        <f t="shared" si="23"/>
        <v>21000</v>
      </c>
    </row>
    <row r="27" spans="1:30" x14ac:dyDescent="0.25">
      <c r="A27" s="118"/>
      <c r="B27" s="241" t="s">
        <v>129</v>
      </c>
      <c r="C27" s="242"/>
      <c r="D27" s="243"/>
      <c r="E27" s="171"/>
      <c r="F27" s="172"/>
      <c r="G27" s="173"/>
      <c r="H27" s="174"/>
      <c r="I27" s="175">
        <v>45000</v>
      </c>
      <c r="J27" s="176"/>
      <c r="K27" s="243">
        <f t="shared" si="19"/>
        <v>45000</v>
      </c>
      <c r="L27" s="523">
        <f t="shared" si="20"/>
        <v>45000</v>
      </c>
      <c r="M27" s="155"/>
      <c r="N27" s="177"/>
      <c r="O27" s="178"/>
      <c r="P27" s="179"/>
      <c r="Q27" s="177"/>
      <c r="R27" s="178"/>
      <c r="S27" s="179"/>
      <c r="T27" s="177"/>
      <c r="U27" s="178"/>
      <c r="V27" s="180"/>
      <c r="W27" s="181"/>
      <c r="X27" s="178"/>
      <c r="Y27" s="180"/>
      <c r="AA27" s="182">
        <f t="shared" si="21"/>
        <v>0</v>
      </c>
      <c r="AB27" s="183"/>
      <c r="AC27" s="166">
        <f t="shared" si="22"/>
        <v>0</v>
      </c>
      <c r="AD27" s="184">
        <f t="shared" si="23"/>
        <v>45000</v>
      </c>
    </row>
    <row r="28" spans="1:30" x14ac:dyDescent="0.25">
      <c r="A28" s="118"/>
      <c r="B28" s="241" t="s">
        <v>130</v>
      </c>
      <c r="C28" s="242"/>
      <c r="D28" s="243"/>
      <c r="E28" s="171"/>
      <c r="F28" s="172"/>
      <c r="G28" s="173"/>
      <c r="H28" s="174"/>
      <c r="I28" s="175">
        <v>15000</v>
      </c>
      <c r="J28" s="176"/>
      <c r="K28" s="243">
        <f t="shared" si="19"/>
        <v>15000</v>
      </c>
      <c r="L28" s="523">
        <f t="shared" si="20"/>
        <v>15000</v>
      </c>
      <c r="M28" s="155"/>
      <c r="N28" s="177"/>
      <c r="O28" s="178"/>
      <c r="P28" s="179"/>
      <c r="Q28" s="177"/>
      <c r="R28" s="178"/>
      <c r="S28" s="179"/>
      <c r="T28" s="177"/>
      <c r="U28" s="178"/>
      <c r="V28" s="180"/>
      <c r="W28" s="181"/>
      <c r="X28" s="178"/>
      <c r="Y28" s="180"/>
      <c r="AA28" s="182">
        <f t="shared" si="21"/>
        <v>0</v>
      </c>
      <c r="AB28" s="183"/>
      <c r="AC28" s="166">
        <f t="shared" si="22"/>
        <v>0</v>
      </c>
      <c r="AD28" s="184">
        <f t="shared" si="23"/>
        <v>15000</v>
      </c>
    </row>
    <row r="29" spans="1:30" x14ac:dyDescent="0.25">
      <c r="A29" s="118"/>
      <c r="B29" s="241" t="s">
        <v>131</v>
      </c>
      <c r="C29" s="242"/>
      <c r="D29" s="243"/>
      <c r="E29" s="171"/>
      <c r="F29" s="172"/>
      <c r="G29" s="173"/>
      <c r="H29" s="174"/>
      <c r="I29" s="175">
        <v>36000</v>
      </c>
      <c r="J29" s="176"/>
      <c r="K29" s="243">
        <f t="shared" si="19"/>
        <v>36000</v>
      </c>
      <c r="L29" s="523">
        <f t="shared" si="20"/>
        <v>36000</v>
      </c>
      <c r="M29" s="155"/>
      <c r="N29" s="177"/>
      <c r="O29" s="178"/>
      <c r="P29" s="179"/>
      <c r="Q29" s="177"/>
      <c r="R29" s="178"/>
      <c r="S29" s="179"/>
      <c r="T29" s="177"/>
      <c r="U29" s="178"/>
      <c r="V29" s="180"/>
      <c r="W29" s="181"/>
      <c r="X29" s="178"/>
      <c r="Y29" s="180"/>
      <c r="AA29" s="182">
        <f t="shared" si="21"/>
        <v>0</v>
      </c>
      <c r="AB29" s="183"/>
      <c r="AC29" s="166">
        <f t="shared" si="22"/>
        <v>0</v>
      </c>
      <c r="AD29" s="184">
        <f t="shared" si="23"/>
        <v>36000</v>
      </c>
    </row>
    <row r="30" spans="1:30" ht="16.5" thickBot="1" x14ac:dyDescent="0.3">
      <c r="A30" s="118"/>
      <c r="B30" s="241" t="s">
        <v>126</v>
      </c>
      <c r="C30" s="242"/>
      <c r="D30" s="243">
        <v>138988</v>
      </c>
      <c r="E30" s="171"/>
      <c r="F30" s="172">
        <v>508665</v>
      </c>
      <c r="G30" s="173"/>
      <c r="H30" s="174"/>
      <c r="I30" s="175">
        <v>-123962</v>
      </c>
      <c r="J30" s="176"/>
      <c r="K30" s="243">
        <f t="shared" si="19"/>
        <v>384703</v>
      </c>
      <c r="L30" s="523">
        <f t="shared" si="20"/>
        <v>523691</v>
      </c>
      <c r="M30" s="155"/>
      <c r="N30" s="177"/>
      <c r="O30" s="178"/>
      <c r="P30" s="179"/>
      <c r="Q30" s="177"/>
      <c r="R30" s="178"/>
      <c r="S30" s="179"/>
      <c r="T30" s="177"/>
      <c r="U30" s="178"/>
      <c r="V30" s="180"/>
      <c r="W30" s="181"/>
      <c r="X30" s="178"/>
      <c r="Y30" s="180"/>
      <c r="AA30" s="300">
        <f t="shared" si="9"/>
        <v>0</v>
      </c>
      <c r="AB30" s="301">
        <v>294458</v>
      </c>
      <c r="AC30" s="302">
        <f t="shared" si="22"/>
        <v>0.56227431825255736</v>
      </c>
      <c r="AD30" s="303">
        <f t="shared" si="23"/>
        <v>229233</v>
      </c>
    </row>
    <row r="31" spans="1:30" s="217" customFormat="1" thickBot="1" x14ac:dyDescent="0.3">
      <c r="A31" s="137"/>
      <c r="B31" s="257" t="s">
        <v>112</v>
      </c>
      <c r="C31" s="258"/>
      <c r="D31" s="207">
        <f>SUM(D23:D30)</f>
        <v>187997</v>
      </c>
      <c r="E31" s="208">
        <f t="shared" ref="E31:J31" si="24">SUM(E23:E30)</f>
        <v>0</v>
      </c>
      <c r="F31" s="209">
        <f t="shared" si="24"/>
        <v>508665</v>
      </c>
      <c r="G31" s="210">
        <f t="shared" si="24"/>
        <v>0</v>
      </c>
      <c r="H31" s="211">
        <f t="shared" si="24"/>
        <v>0</v>
      </c>
      <c r="I31" s="212">
        <f t="shared" si="24"/>
        <v>0</v>
      </c>
      <c r="J31" s="213">
        <f t="shared" si="24"/>
        <v>0</v>
      </c>
      <c r="K31" s="207"/>
      <c r="L31" s="314">
        <f>SUM(L23:L30)</f>
        <v>696662</v>
      </c>
      <c r="M31" s="214"/>
      <c r="N31" s="207">
        <f t="shared" ref="N31:Y31" si="25">SUM(N23:N30)</f>
        <v>0</v>
      </c>
      <c r="O31" s="207">
        <f t="shared" si="25"/>
        <v>0</v>
      </c>
      <c r="P31" s="207">
        <f t="shared" si="25"/>
        <v>0</v>
      </c>
      <c r="Q31" s="207">
        <f t="shared" si="25"/>
        <v>0</v>
      </c>
      <c r="R31" s="207">
        <f t="shared" si="25"/>
        <v>0</v>
      </c>
      <c r="S31" s="215">
        <f t="shared" si="25"/>
        <v>0</v>
      </c>
      <c r="T31" s="207">
        <f t="shared" si="25"/>
        <v>0</v>
      </c>
      <c r="U31" s="207">
        <f t="shared" si="25"/>
        <v>0</v>
      </c>
      <c r="V31" s="207">
        <f t="shared" si="25"/>
        <v>0</v>
      </c>
      <c r="W31" s="216">
        <f t="shared" si="25"/>
        <v>0</v>
      </c>
      <c r="X31" s="207">
        <f t="shared" si="25"/>
        <v>0</v>
      </c>
      <c r="Y31" s="207">
        <f t="shared" si="25"/>
        <v>0</v>
      </c>
      <c r="AA31" s="208">
        <f>SUM(AA23:AA30)</f>
        <v>0</v>
      </c>
      <c r="AB31" s="207">
        <f>SUM(AB23:AB30)</f>
        <v>298542.58</v>
      </c>
      <c r="AC31" s="218">
        <f>SUM(AC23:AC30)/7</f>
        <v>9.2231112254132858E-2</v>
      </c>
      <c r="AD31" s="207">
        <f>SUM(AD23:AD30)</f>
        <v>398119.42</v>
      </c>
    </row>
    <row r="32" spans="1:30" ht="16.5" thickBot="1" x14ac:dyDescent="0.3">
      <c r="A32" s="137"/>
      <c r="B32" s="142" t="s">
        <v>132</v>
      </c>
      <c r="C32" s="141"/>
      <c r="D32" s="141"/>
      <c r="E32" s="141"/>
      <c r="F32" s="141"/>
      <c r="G32" s="141"/>
      <c r="H32" s="141"/>
      <c r="I32" s="141"/>
      <c r="J32" s="141"/>
      <c r="K32" s="142"/>
      <c r="L32" s="142"/>
      <c r="M32" s="141"/>
      <c r="N32" s="141"/>
      <c r="O32" s="141"/>
      <c r="P32" s="141"/>
      <c r="Q32" s="141"/>
      <c r="R32" s="141"/>
      <c r="S32" s="141"/>
      <c r="T32" s="142"/>
      <c r="U32" s="141"/>
      <c r="V32" s="143"/>
      <c r="W32" s="141"/>
      <c r="X32" s="141"/>
      <c r="Y32" s="141"/>
      <c r="Z32" s="141"/>
      <c r="AA32" s="144"/>
      <c r="AB32" s="144"/>
      <c r="AC32" s="141"/>
      <c r="AD32" s="144"/>
    </row>
    <row r="33" spans="1:30" x14ac:dyDescent="0.25">
      <c r="A33" s="304"/>
      <c r="B33" s="305" t="s">
        <v>133</v>
      </c>
      <c r="C33" s="306"/>
      <c r="D33" s="307">
        <v>44000</v>
      </c>
      <c r="E33" s="149"/>
      <c r="F33" s="150"/>
      <c r="G33" s="151"/>
      <c r="H33" s="152"/>
      <c r="I33" s="153"/>
      <c r="J33" s="154"/>
      <c r="K33" s="243">
        <f t="shared" ref="K33:K38" si="26">SUM(E33:J33)</f>
        <v>0</v>
      </c>
      <c r="L33" s="527">
        <f t="shared" ref="L33:L38" si="27">SUM(D33:J33)</f>
        <v>44000</v>
      </c>
      <c r="M33" s="155"/>
      <c r="N33" s="156"/>
      <c r="O33" s="157"/>
      <c r="P33" s="158">
        <f>3105.23+3780.88+3776.34</f>
        <v>10662.45</v>
      </c>
      <c r="Q33" s="159">
        <f>203.18+415.48+216.79+475.79+334.85+40.48+113.26+205.84+397.77+130.73+366.53+144.95+411.18+161.44+404.26</f>
        <v>4022.5299999999997</v>
      </c>
      <c r="R33" s="160">
        <f>207.56+418.55+113.9+438.08+236.73+462.13+150.55+403.31+177.72+423.25+130.31+390.65+135.08+484.07</f>
        <v>4171.8899999999994</v>
      </c>
      <c r="S33" s="161">
        <v>4573.0600000000004</v>
      </c>
      <c r="T33" s="159">
        <v>5228.8900000000003</v>
      </c>
      <c r="U33" s="160">
        <v>4486.28</v>
      </c>
      <c r="V33" s="162">
        <v>6074.33</v>
      </c>
      <c r="W33" s="163"/>
      <c r="X33" s="160"/>
      <c r="Y33" s="162"/>
      <c r="AA33" s="182">
        <f t="shared" ref="AA33:AA35" si="28">SUM(N33:Z33)</f>
        <v>39219.43</v>
      </c>
      <c r="AB33" s="183"/>
      <c r="AC33" s="166">
        <f t="shared" ref="AC33:AC38" si="29">SUM(AA33:AB33)/L33</f>
        <v>0.89135068181818178</v>
      </c>
      <c r="AD33" s="184">
        <f t="shared" ref="AD33:AD38" si="30">+L33-AA33-AB33</f>
        <v>4780.57</v>
      </c>
    </row>
    <row r="34" spans="1:30" x14ac:dyDescent="0.25">
      <c r="A34" s="308"/>
      <c r="B34" s="309" t="s">
        <v>134</v>
      </c>
      <c r="C34" s="310"/>
      <c r="D34" s="243">
        <v>8000</v>
      </c>
      <c r="E34" s="171"/>
      <c r="F34" s="172"/>
      <c r="G34" s="173"/>
      <c r="H34" s="174"/>
      <c r="I34" s="175"/>
      <c r="J34" s="176"/>
      <c r="K34" s="243">
        <f t="shared" si="26"/>
        <v>0</v>
      </c>
      <c r="L34" s="523">
        <f t="shared" si="27"/>
        <v>8000</v>
      </c>
      <c r="M34" s="155"/>
      <c r="N34" s="177"/>
      <c r="O34" s="178"/>
      <c r="P34" s="179"/>
      <c r="Q34" s="177"/>
      <c r="R34" s="178"/>
      <c r="S34" s="179"/>
      <c r="T34" s="177"/>
      <c r="U34" s="178"/>
      <c r="V34" s="180"/>
      <c r="W34" s="181"/>
      <c r="X34" s="178"/>
      <c r="Y34" s="180"/>
      <c r="AA34" s="182">
        <f t="shared" si="28"/>
        <v>0</v>
      </c>
      <c r="AB34" s="183"/>
      <c r="AC34" s="166">
        <f t="shared" si="29"/>
        <v>0</v>
      </c>
      <c r="AD34" s="184">
        <f t="shared" si="30"/>
        <v>8000</v>
      </c>
    </row>
    <row r="35" spans="1:30" x14ac:dyDescent="0.25">
      <c r="A35" s="308"/>
      <c r="B35" s="309" t="s">
        <v>135</v>
      </c>
      <c r="C35" s="310"/>
      <c r="D35" s="243">
        <v>50000</v>
      </c>
      <c r="E35" s="171"/>
      <c r="F35" s="172"/>
      <c r="G35" s="173">
        <v>16666.689999999999</v>
      </c>
      <c r="H35" s="174"/>
      <c r="I35" s="175"/>
      <c r="J35" s="176"/>
      <c r="K35" s="243">
        <f t="shared" si="26"/>
        <v>16666.689999999999</v>
      </c>
      <c r="L35" s="523">
        <f t="shared" si="27"/>
        <v>66666.69</v>
      </c>
      <c r="M35" s="155"/>
      <c r="N35" s="177">
        <v>8333.34</v>
      </c>
      <c r="O35" s="178">
        <v>4166.67</v>
      </c>
      <c r="P35" s="179"/>
      <c r="Q35" s="177">
        <f>10075.01+2425+4166.67+37500</f>
        <v>54166.68</v>
      </c>
      <c r="R35" s="178"/>
      <c r="S35" s="179"/>
      <c r="T35" s="177"/>
      <c r="U35" s="178"/>
      <c r="V35" s="180"/>
      <c r="W35" s="181"/>
      <c r="X35" s="178"/>
      <c r="Y35" s="180"/>
      <c r="AA35" s="182">
        <f t="shared" si="28"/>
        <v>66666.69</v>
      </c>
      <c r="AB35" s="183"/>
      <c r="AC35" s="166">
        <f t="shared" si="29"/>
        <v>1</v>
      </c>
      <c r="AD35" s="184">
        <f t="shared" si="30"/>
        <v>0</v>
      </c>
    </row>
    <row r="36" spans="1:30" x14ac:dyDescent="0.25">
      <c r="A36" s="308"/>
      <c r="B36" s="309" t="s">
        <v>136</v>
      </c>
      <c r="C36" s="310"/>
      <c r="D36" s="243">
        <v>0</v>
      </c>
      <c r="E36" s="171"/>
      <c r="F36" s="172"/>
      <c r="G36" s="173"/>
      <c r="H36" s="174">
        <v>450</v>
      </c>
      <c r="I36" s="175"/>
      <c r="J36" s="176"/>
      <c r="K36" s="243">
        <f t="shared" si="26"/>
        <v>450</v>
      </c>
      <c r="L36" s="523">
        <f t="shared" si="27"/>
        <v>450</v>
      </c>
      <c r="M36" s="155"/>
      <c r="N36" s="177">
        <v>450</v>
      </c>
      <c r="O36" s="178"/>
      <c r="P36" s="179"/>
      <c r="Q36" s="177"/>
      <c r="R36" s="178"/>
      <c r="S36" s="179"/>
      <c r="T36" s="177"/>
      <c r="U36" s="178"/>
      <c r="V36" s="180"/>
      <c r="W36" s="181"/>
      <c r="X36" s="178"/>
      <c r="Y36" s="180"/>
      <c r="AA36" s="182">
        <f t="shared" ref="AA36:AA38" si="31">SUM(N36:Z36)</f>
        <v>450</v>
      </c>
      <c r="AB36" s="183"/>
      <c r="AC36" s="166">
        <f t="shared" si="29"/>
        <v>1</v>
      </c>
      <c r="AD36" s="184">
        <f t="shared" si="30"/>
        <v>0</v>
      </c>
    </row>
    <row r="37" spans="1:30" x14ac:dyDescent="0.25">
      <c r="A37" s="308"/>
      <c r="B37" s="309" t="s">
        <v>137</v>
      </c>
      <c r="C37" s="310"/>
      <c r="D37" s="243">
        <v>0</v>
      </c>
      <c r="E37" s="171"/>
      <c r="F37" s="172"/>
      <c r="G37" s="173"/>
      <c r="H37" s="174"/>
      <c r="I37" s="175"/>
      <c r="J37" s="176">
        <v>45</v>
      </c>
      <c r="K37" s="243">
        <f t="shared" si="26"/>
        <v>45</v>
      </c>
      <c r="L37" s="523">
        <f t="shared" si="27"/>
        <v>45</v>
      </c>
      <c r="M37" s="155"/>
      <c r="N37" s="177"/>
      <c r="O37" s="178"/>
      <c r="P37" s="179"/>
      <c r="Q37" s="177"/>
      <c r="R37" s="178"/>
      <c r="S37" s="179"/>
      <c r="T37" s="177"/>
      <c r="U37" s="178"/>
      <c r="V37" s="180">
        <v>30</v>
      </c>
      <c r="W37" s="181"/>
      <c r="X37" s="178"/>
      <c r="Y37" s="180"/>
      <c r="AA37" s="182">
        <f t="shared" ref="AA37" si="32">SUM(N37:Z37)</f>
        <v>30</v>
      </c>
      <c r="AB37" s="183">
        <v>15</v>
      </c>
      <c r="AC37" s="166">
        <f t="shared" si="29"/>
        <v>1</v>
      </c>
      <c r="AD37" s="184">
        <f t="shared" si="30"/>
        <v>0</v>
      </c>
    </row>
    <row r="38" spans="1:30" ht="16.5" thickBot="1" x14ac:dyDescent="0.3">
      <c r="A38" s="311"/>
      <c r="B38" s="312" t="s">
        <v>138</v>
      </c>
      <c r="C38" s="313"/>
      <c r="D38" s="246">
        <v>0</v>
      </c>
      <c r="E38" s="190"/>
      <c r="F38" s="191"/>
      <c r="G38" s="192"/>
      <c r="H38" s="193"/>
      <c r="I38" s="194">
        <v>7403.87</v>
      </c>
      <c r="J38" s="195">
        <v>600.16999999999996</v>
      </c>
      <c r="K38" s="243">
        <f t="shared" si="26"/>
        <v>8004.04</v>
      </c>
      <c r="L38" s="528">
        <f t="shared" si="27"/>
        <v>8004.04</v>
      </c>
      <c r="M38" s="155"/>
      <c r="N38" s="197">
        <f>5628.75+1172.5+200.16</f>
        <v>7001.41</v>
      </c>
      <c r="O38" s="198">
        <f>0.26</f>
        <v>0.26</v>
      </c>
      <c r="P38" s="199">
        <v>0.34</v>
      </c>
      <c r="Q38" s="200">
        <v>0.52</v>
      </c>
      <c r="R38" s="201">
        <f>400+0.66</f>
        <v>400.66</v>
      </c>
      <c r="S38" s="202">
        <v>0.68</v>
      </c>
      <c r="T38" s="177">
        <v>200.09</v>
      </c>
      <c r="U38" s="178">
        <v>200.01</v>
      </c>
      <c r="V38" s="180">
        <v>200.07</v>
      </c>
      <c r="W38" s="181"/>
      <c r="X38" s="178"/>
      <c r="Y38" s="180"/>
      <c r="AA38" s="300">
        <f t="shared" si="31"/>
        <v>8004.0400000000009</v>
      </c>
      <c r="AB38" s="301"/>
      <c r="AC38" s="255">
        <f t="shared" si="29"/>
        <v>1.0000000000000002</v>
      </c>
      <c r="AD38" s="303">
        <f t="shared" si="30"/>
        <v>-9.0949470177292824E-13</v>
      </c>
    </row>
    <row r="39" spans="1:30" s="217" customFormat="1" thickBot="1" x14ac:dyDescent="0.3">
      <c r="A39" s="137"/>
      <c r="B39" s="257" t="s">
        <v>112</v>
      </c>
      <c r="C39" s="258"/>
      <c r="D39" s="207">
        <f>SUM(D33:D38)</f>
        <v>102000</v>
      </c>
      <c r="E39" s="208">
        <f t="shared" ref="E39:K39" si="33">SUM(E33:E38)</f>
        <v>0</v>
      </c>
      <c r="F39" s="209">
        <f t="shared" si="33"/>
        <v>0</v>
      </c>
      <c r="G39" s="210">
        <f t="shared" si="33"/>
        <v>16666.689999999999</v>
      </c>
      <c r="H39" s="211">
        <f t="shared" si="33"/>
        <v>450</v>
      </c>
      <c r="I39" s="212">
        <f t="shared" si="33"/>
        <v>7403.87</v>
      </c>
      <c r="J39" s="314">
        <f t="shared" si="33"/>
        <v>645.16999999999996</v>
      </c>
      <c r="K39" s="207">
        <f t="shared" si="33"/>
        <v>25165.73</v>
      </c>
      <c r="L39" s="314">
        <f>SUM(L33:L38)</f>
        <v>127165.73</v>
      </c>
      <c r="M39" s="214"/>
      <c r="N39" s="207">
        <f t="shared" ref="N39:Y39" si="34">SUM(N33:N38)</f>
        <v>15784.75</v>
      </c>
      <c r="O39" s="207">
        <f t="shared" si="34"/>
        <v>4166.93</v>
      </c>
      <c r="P39" s="207">
        <f t="shared" si="34"/>
        <v>10662.79</v>
      </c>
      <c r="Q39" s="207">
        <f t="shared" si="34"/>
        <v>58189.729999999996</v>
      </c>
      <c r="R39" s="207">
        <f t="shared" si="34"/>
        <v>4572.5499999999993</v>
      </c>
      <c r="S39" s="215">
        <f t="shared" si="34"/>
        <v>4573.7400000000007</v>
      </c>
      <c r="T39" s="207">
        <f t="shared" si="34"/>
        <v>5428.9800000000005</v>
      </c>
      <c r="U39" s="207">
        <f t="shared" si="34"/>
        <v>4686.29</v>
      </c>
      <c r="V39" s="207">
        <f t="shared" si="34"/>
        <v>6304.4</v>
      </c>
      <c r="W39" s="216">
        <f t="shared" si="34"/>
        <v>0</v>
      </c>
      <c r="X39" s="207">
        <f t="shared" si="34"/>
        <v>0</v>
      </c>
      <c r="Y39" s="207">
        <f t="shared" si="34"/>
        <v>0</v>
      </c>
      <c r="AA39" s="208">
        <f>SUM(AA33:AA38)</f>
        <v>114370.16</v>
      </c>
      <c r="AB39" s="207">
        <f>SUM(AB33:AB38)</f>
        <v>15</v>
      </c>
      <c r="AC39" s="315">
        <f>SUM(AC33:AC38)/6</f>
        <v>0.81522511363636363</v>
      </c>
      <c r="AD39" s="207">
        <f>SUM(AD33:AD38)</f>
        <v>12780.57</v>
      </c>
    </row>
    <row r="40" spans="1:30" s="217" customFormat="1" thickBot="1" x14ac:dyDescent="0.3">
      <c r="A40" s="137"/>
      <c r="B40" s="316" t="s">
        <v>139</v>
      </c>
      <c r="C40" s="317"/>
      <c r="D40" s="318">
        <f>+D11+D21+D31+D39</f>
        <v>2152237.1799999997</v>
      </c>
      <c r="E40" s="319">
        <f>+E11+E21+E31+E39</f>
        <v>-58524.120000000017</v>
      </c>
      <c r="F40" s="320">
        <f>+F11+F21+F31+F39</f>
        <v>508665</v>
      </c>
      <c r="G40" s="321">
        <f>+G11+G21+E31+G39</f>
        <v>118787.07</v>
      </c>
      <c r="H40" s="322">
        <f>+H11+H21+E31+H39</f>
        <v>450</v>
      </c>
      <c r="I40" s="323">
        <f>+I11+I21+D31+I39</f>
        <v>195400.87</v>
      </c>
      <c r="J40" s="324">
        <f>+J11+J21+E31+J39</f>
        <v>645.16999999999996</v>
      </c>
      <c r="K40" s="318">
        <f>+K11+K21+F31+K39</f>
        <v>533830.73</v>
      </c>
      <c r="L40" s="324">
        <f>+L11+L21+L31+L39</f>
        <v>2729664.1700000004</v>
      </c>
      <c r="M40" s="214"/>
      <c r="N40" s="318">
        <f t="shared" ref="N40:Y40" si="35">+N11+N21+N31+N39</f>
        <v>299093.53000000003</v>
      </c>
      <c r="O40" s="318">
        <f t="shared" si="35"/>
        <v>146541.26999999999</v>
      </c>
      <c r="P40" s="318">
        <f t="shared" si="35"/>
        <v>108369.72</v>
      </c>
      <c r="Q40" s="318">
        <f t="shared" si="35"/>
        <v>251942.11</v>
      </c>
      <c r="R40" s="318">
        <f t="shared" si="35"/>
        <v>109528.70999999999</v>
      </c>
      <c r="S40" s="318">
        <f t="shared" si="35"/>
        <v>106268.97</v>
      </c>
      <c r="T40" s="318">
        <f t="shared" si="35"/>
        <v>101995.26</v>
      </c>
      <c r="U40" s="318">
        <f t="shared" si="35"/>
        <v>106293.58999999998</v>
      </c>
      <c r="V40" s="318">
        <f t="shared" si="35"/>
        <v>102881.81999999999</v>
      </c>
      <c r="W40" s="318">
        <f t="shared" si="35"/>
        <v>0</v>
      </c>
      <c r="X40" s="318">
        <f t="shared" si="35"/>
        <v>0</v>
      </c>
      <c r="Y40" s="318">
        <f t="shared" si="35"/>
        <v>0</v>
      </c>
      <c r="AA40" s="208">
        <f>+AA11+AA21+AA31+AA39</f>
        <v>1332914.9799999997</v>
      </c>
      <c r="AB40" s="207">
        <f>+AB11+AB21+AB31+AB39</f>
        <v>395633.63</v>
      </c>
      <c r="AC40" s="315">
        <f>+(+AC11+AC21+AC31+AC39)/4</f>
        <v>0.63587537085960477</v>
      </c>
      <c r="AD40" s="325">
        <f>+AD11+AD21+AD31+AD39</f>
        <v>1001115.5599999999</v>
      </c>
    </row>
    <row r="59" spans="20:21" x14ac:dyDescent="0.25">
      <c r="T59" s="217"/>
      <c r="U59" s="217"/>
    </row>
  </sheetData>
  <pageMargins left="0.25" right="0.25" top="0.25" bottom="0.25" header="0" footer="0"/>
  <pageSetup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AFED-9DA9-0649-8FA2-231A1846CB99}">
  <sheetPr>
    <pageSetUpPr fitToPage="1"/>
  </sheetPr>
  <dimension ref="A1:AK30"/>
  <sheetViews>
    <sheetView tabSelected="1" zoomScale="130" zoomScaleNormal="130" workbookViewId="0">
      <selection sqref="A1:XFD1048576"/>
    </sheetView>
  </sheetViews>
  <sheetFormatPr defaultColWidth="11.5" defaultRowHeight="15.75" x14ac:dyDescent="0.25"/>
  <cols>
    <col min="1" max="1" width="1.75" customWidth="1"/>
    <col min="2" max="2" width="48.25" bestFit="1" customWidth="1"/>
    <col min="3" max="3" width="17.5" bestFit="1" customWidth="1"/>
    <col min="4" max="7" width="12.5" hidden="1" customWidth="1"/>
    <col min="8" max="8" width="1.75" style="443" customWidth="1"/>
    <col min="9" max="9" width="14" bestFit="1" customWidth="1"/>
    <col min="10" max="11" width="14" hidden="1" customWidth="1"/>
    <col min="12" max="14" width="13.75" hidden="1" customWidth="1"/>
    <col min="15" max="15" width="14" bestFit="1" customWidth="1"/>
    <col min="16" max="16" width="17.25" customWidth="1"/>
    <col min="17" max="17" width="14" hidden="1" customWidth="1"/>
    <col min="18" max="18" width="1.75" customWidth="1"/>
    <col min="19" max="24" width="11.5" hidden="1" customWidth="1"/>
    <col min="27" max="27" width="11.5" customWidth="1"/>
    <col min="28" max="28" width="8.25" hidden="1" customWidth="1"/>
    <col min="29" max="29" width="8.75" hidden="1" customWidth="1"/>
    <col min="30" max="30" width="8.25" hidden="1" customWidth="1"/>
    <col min="31" max="31" width="1.75" customWidth="1"/>
    <col min="32" max="32" width="12.5" bestFit="1" customWidth="1"/>
    <col min="34" max="34" width="7.25" style="16" bestFit="1" customWidth="1"/>
    <col min="35" max="35" width="14" bestFit="1" customWidth="1"/>
    <col min="36" max="36" width="2" bestFit="1" customWidth="1"/>
    <col min="37" max="37" width="12.25" style="500" bestFit="1" customWidth="1"/>
  </cols>
  <sheetData>
    <row r="1" spans="1:37" ht="21" thickBot="1" x14ac:dyDescent="0.35">
      <c r="A1" s="118"/>
      <c r="B1" s="326" t="s">
        <v>1</v>
      </c>
      <c r="C1" s="327"/>
      <c r="D1" s="327"/>
      <c r="E1" s="327"/>
      <c r="F1" s="328"/>
      <c r="H1" s="329"/>
      <c r="I1" s="116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1"/>
      <c r="AI1" s="330"/>
      <c r="AJ1" s="330"/>
      <c r="AK1" s="462"/>
    </row>
    <row r="2" spans="1:37" ht="45" thickBot="1" x14ac:dyDescent="0.35">
      <c r="A2" s="118"/>
      <c r="B2" s="332" t="s">
        <v>140</v>
      </c>
      <c r="C2" s="333"/>
      <c r="D2" s="334" t="s">
        <v>141</v>
      </c>
      <c r="E2" s="334" t="s">
        <v>142</v>
      </c>
      <c r="F2" s="334" t="s">
        <v>143</v>
      </c>
      <c r="G2" s="335" t="s">
        <v>143</v>
      </c>
      <c r="H2" s="128"/>
      <c r="I2" s="336" t="s">
        <v>96</v>
      </c>
      <c r="J2" s="335" t="s">
        <v>12</v>
      </c>
      <c r="K2" s="337" t="s">
        <v>13</v>
      </c>
      <c r="L2" s="338" t="s">
        <v>14</v>
      </c>
      <c r="M2" s="339" t="s">
        <v>15</v>
      </c>
      <c r="N2" s="340" t="s">
        <v>97</v>
      </c>
      <c r="O2" s="334" t="s">
        <v>171</v>
      </c>
      <c r="P2" s="341" t="s">
        <v>99</v>
      </c>
      <c r="Q2" s="334" t="s">
        <v>144</v>
      </c>
      <c r="S2" s="129">
        <v>44396</v>
      </c>
      <c r="T2" s="129">
        <v>44427</v>
      </c>
      <c r="U2" s="131">
        <v>44458</v>
      </c>
      <c r="V2" s="129">
        <v>44488</v>
      </c>
      <c r="W2" s="129">
        <v>44519</v>
      </c>
      <c r="X2" s="129">
        <v>44549</v>
      </c>
      <c r="Y2" s="129">
        <v>44581</v>
      </c>
      <c r="Z2" s="129">
        <v>44612</v>
      </c>
      <c r="AA2" s="129">
        <v>44640</v>
      </c>
      <c r="AB2" s="129">
        <v>44671</v>
      </c>
      <c r="AC2" s="129">
        <v>44701</v>
      </c>
      <c r="AD2" s="129">
        <v>44732</v>
      </c>
      <c r="AF2" s="134" t="s">
        <v>100</v>
      </c>
      <c r="AG2" s="135" t="s">
        <v>101</v>
      </c>
      <c r="AH2" s="342" t="s">
        <v>102</v>
      </c>
      <c r="AI2" s="134" t="s">
        <v>103</v>
      </c>
      <c r="AK2" s="463" t="s">
        <v>145</v>
      </c>
    </row>
    <row r="3" spans="1:37" ht="19.5" thickBot="1" x14ac:dyDescent="0.35">
      <c r="A3" s="118"/>
      <c r="B3" s="537">
        <v>5311</v>
      </c>
      <c r="C3" s="538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464"/>
    </row>
    <row r="4" spans="1:37" x14ac:dyDescent="0.25">
      <c r="A4" s="118"/>
      <c r="B4" s="344" t="s">
        <v>146</v>
      </c>
      <c r="C4" s="345"/>
      <c r="D4" s="346"/>
      <c r="E4" s="347"/>
      <c r="F4" s="347">
        <v>90000</v>
      </c>
      <c r="G4" s="226">
        <v>90000</v>
      </c>
      <c r="H4" s="348"/>
      <c r="I4" s="349">
        <v>26210</v>
      </c>
      <c r="J4" s="149"/>
      <c r="K4" s="150"/>
      <c r="L4" s="151"/>
      <c r="M4" s="152"/>
      <c r="N4" s="154"/>
      <c r="O4" s="351">
        <v>0</v>
      </c>
      <c r="P4" s="465">
        <v>26210</v>
      </c>
      <c r="Q4" s="307">
        <v>-18790</v>
      </c>
      <c r="S4" s="159"/>
      <c r="T4" s="160"/>
      <c r="U4" s="162"/>
      <c r="V4" s="299"/>
      <c r="W4" s="157"/>
      <c r="X4" s="298"/>
      <c r="Y4" s="159"/>
      <c r="Z4" s="160"/>
      <c r="AA4" s="162"/>
      <c r="AB4" s="156"/>
      <c r="AC4" s="157"/>
      <c r="AD4" s="298"/>
      <c r="AF4" s="352">
        <v>0</v>
      </c>
      <c r="AG4" s="353">
        <v>26210</v>
      </c>
      <c r="AH4" s="354">
        <v>1</v>
      </c>
      <c r="AI4" s="355">
        <v>0</v>
      </c>
      <c r="AK4" s="466"/>
    </row>
    <row r="5" spans="1:37" x14ac:dyDescent="0.25">
      <c r="A5" s="118"/>
      <c r="B5" s="356" t="s">
        <v>147</v>
      </c>
      <c r="C5" s="357" t="s">
        <v>148</v>
      </c>
      <c r="D5" s="346">
        <v>293000</v>
      </c>
      <c r="E5" s="347"/>
      <c r="F5" s="347"/>
      <c r="G5" s="358"/>
      <c r="H5" s="348"/>
      <c r="I5" s="359">
        <v>0</v>
      </c>
      <c r="J5" s="171"/>
      <c r="K5" s="172">
        <v>180000</v>
      </c>
      <c r="L5" s="173"/>
      <c r="M5" s="174">
        <v>20000</v>
      </c>
      <c r="N5" s="176"/>
      <c r="O5" s="361">
        <v>200000</v>
      </c>
      <c r="P5" s="467">
        <v>200000</v>
      </c>
      <c r="Q5" s="243">
        <v>0</v>
      </c>
      <c r="S5" s="177"/>
      <c r="T5" s="178"/>
      <c r="U5" s="180"/>
      <c r="V5" s="181"/>
      <c r="W5" s="178"/>
      <c r="X5" s="180"/>
      <c r="Y5" s="177"/>
      <c r="Z5" s="178"/>
      <c r="AA5" s="180"/>
      <c r="AB5" s="177"/>
      <c r="AC5" s="178"/>
      <c r="AD5" s="180"/>
      <c r="AF5" s="352">
        <v>0</v>
      </c>
      <c r="AG5" s="353"/>
      <c r="AH5" s="354">
        <v>0</v>
      </c>
      <c r="AI5" s="355">
        <v>200000</v>
      </c>
      <c r="AK5" s="468"/>
    </row>
    <row r="6" spans="1:37" x14ac:dyDescent="0.25">
      <c r="A6" s="118"/>
      <c r="B6" s="362" t="s">
        <v>149</v>
      </c>
      <c r="C6" s="363"/>
      <c r="D6" s="364"/>
      <c r="E6" s="365"/>
      <c r="F6" s="365"/>
      <c r="G6" s="366"/>
      <c r="H6" s="367"/>
      <c r="I6" s="368">
        <v>0</v>
      </c>
      <c r="J6" s="174"/>
      <c r="K6" s="174">
        <v>80000</v>
      </c>
      <c r="L6" s="174"/>
      <c r="M6" s="174"/>
      <c r="N6" s="176"/>
      <c r="O6" s="469">
        <v>80000</v>
      </c>
      <c r="P6" s="469">
        <v>80000</v>
      </c>
      <c r="Q6" s="174">
        <v>120000</v>
      </c>
      <c r="S6" s="369">
        <v>17605.5</v>
      </c>
      <c r="T6" s="370"/>
      <c r="U6" s="371">
        <v>5674.5</v>
      </c>
      <c r="V6" s="372">
        <v>5674.5</v>
      </c>
      <c r="W6" s="370">
        <v>5674.5</v>
      </c>
      <c r="X6" s="371">
        <v>5674.5</v>
      </c>
      <c r="Y6" s="369">
        <v>5674.5</v>
      </c>
      <c r="Z6" s="370">
        <v>5674.5</v>
      </c>
      <c r="AA6" s="371">
        <v>5674.5</v>
      </c>
      <c r="AB6" s="177"/>
      <c r="AC6" s="178"/>
      <c r="AD6" s="180"/>
      <c r="AF6" s="373">
        <v>57327</v>
      </c>
      <c r="AG6" s="233">
        <v>5674.5</v>
      </c>
      <c r="AH6" s="374">
        <v>0.78751875000000005</v>
      </c>
      <c r="AI6" s="375">
        <v>16998.5</v>
      </c>
      <c r="AK6" s="233">
        <v>-9000</v>
      </c>
    </row>
    <row r="7" spans="1:37" x14ac:dyDescent="0.25">
      <c r="A7" s="118"/>
      <c r="B7" s="376" t="s">
        <v>150</v>
      </c>
      <c r="C7" s="377" t="s">
        <v>151</v>
      </c>
      <c r="D7" s="378"/>
      <c r="E7" s="379"/>
      <c r="F7" s="379"/>
      <c r="G7" s="380"/>
      <c r="H7" s="348"/>
      <c r="I7" s="359">
        <v>0</v>
      </c>
      <c r="J7" s="171">
        <v>3071882</v>
      </c>
      <c r="K7" s="172"/>
      <c r="L7" s="173"/>
      <c r="M7" s="174"/>
      <c r="N7" s="176"/>
      <c r="O7" s="361">
        <v>3071882</v>
      </c>
      <c r="P7" s="467">
        <v>3071882</v>
      </c>
      <c r="Q7" s="361">
        <v>0</v>
      </c>
      <c r="S7" s="177"/>
      <c r="T7" s="178"/>
      <c r="U7" s="180"/>
      <c r="V7" s="177"/>
      <c r="W7" s="178"/>
      <c r="X7" s="180"/>
      <c r="Y7" s="177"/>
      <c r="Z7" s="178"/>
      <c r="AA7" s="180"/>
      <c r="AB7" s="177"/>
      <c r="AC7" s="178"/>
      <c r="AD7" s="180"/>
      <c r="AF7" s="352">
        <v>0</v>
      </c>
      <c r="AG7" s="353"/>
      <c r="AH7" s="354">
        <v>0</v>
      </c>
      <c r="AI7" s="355">
        <v>3071882</v>
      </c>
      <c r="AK7" s="468"/>
    </row>
    <row r="8" spans="1:37" x14ac:dyDescent="0.25">
      <c r="A8" s="118"/>
      <c r="B8" s="376" t="s">
        <v>152</v>
      </c>
      <c r="C8" s="377" t="s">
        <v>151</v>
      </c>
      <c r="D8" s="378"/>
      <c r="E8" s="379"/>
      <c r="F8" s="379"/>
      <c r="G8" s="380"/>
      <c r="H8" s="348"/>
      <c r="I8" s="359">
        <v>0</v>
      </c>
      <c r="J8" s="171">
        <v>2511882</v>
      </c>
      <c r="K8" s="172"/>
      <c r="L8" s="173"/>
      <c r="M8" s="174"/>
      <c r="N8" s="176"/>
      <c r="O8" s="361">
        <v>2511882</v>
      </c>
      <c r="P8" s="467">
        <v>2511882</v>
      </c>
      <c r="Q8" s="361">
        <v>0</v>
      </c>
      <c r="S8" s="177"/>
      <c r="T8" s="178"/>
      <c r="U8" s="180"/>
      <c r="V8" s="177"/>
      <c r="W8" s="178"/>
      <c r="X8" s="180"/>
      <c r="Y8" s="177"/>
      <c r="Z8" s="178"/>
      <c r="AA8" s="180"/>
      <c r="AB8" s="177"/>
      <c r="AC8" s="178"/>
      <c r="AD8" s="180"/>
      <c r="AF8" s="352">
        <v>0</v>
      </c>
      <c r="AG8" s="353"/>
      <c r="AH8" s="354">
        <v>0</v>
      </c>
      <c r="AI8" s="355">
        <v>2511882</v>
      </c>
      <c r="AK8" s="468"/>
    </row>
    <row r="9" spans="1:37" x14ac:dyDescent="0.25">
      <c r="A9" s="118"/>
      <c r="B9" s="376" t="s">
        <v>153</v>
      </c>
      <c r="C9" s="377"/>
      <c r="D9" s="378"/>
      <c r="E9" s="379"/>
      <c r="F9" s="379"/>
      <c r="G9" s="380"/>
      <c r="H9" s="348"/>
      <c r="I9" s="359">
        <v>0</v>
      </c>
      <c r="J9" s="171"/>
      <c r="K9" s="172">
        <v>1100000</v>
      </c>
      <c r="L9" s="173"/>
      <c r="M9" s="174"/>
      <c r="N9" s="176"/>
      <c r="O9" s="361">
        <v>1100000</v>
      </c>
      <c r="P9" s="467">
        <v>1100000</v>
      </c>
      <c r="Q9" s="361">
        <v>0</v>
      </c>
      <c r="S9" s="177"/>
      <c r="T9" s="178"/>
      <c r="U9" s="180"/>
      <c r="V9" s="181"/>
      <c r="W9" s="178"/>
      <c r="X9" s="180"/>
      <c r="Y9" s="177"/>
      <c r="Z9" s="178"/>
      <c r="AA9" s="180"/>
      <c r="AB9" s="177"/>
      <c r="AC9" s="178"/>
      <c r="AD9" s="180"/>
      <c r="AF9" s="352">
        <v>0</v>
      </c>
      <c r="AG9" s="353"/>
      <c r="AH9" s="354">
        <v>0</v>
      </c>
      <c r="AI9" s="355">
        <v>1100000</v>
      </c>
      <c r="AK9" s="468"/>
    </row>
    <row r="10" spans="1:37" x14ac:dyDescent="0.25">
      <c r="A10" s="118"/>
      <c r="B10" s="241" t="s">
        <v>154</v>
      </c>
      <c r="C10" s="381" t="s">
        <v>155</v>
      </c>
      <c r="D10" s="378"/>
      <c r="E10" s="379">
        <v>74243.22</v>
      </c>
      <c r="F10" s="379">
        <v>100000</v>
      </c>
      <c r="G10" s="358">
        <v>102900.13</v>
      </c>
      <c r="H10" s="348"/>
      <c r="I10" s="359">
        <v>128625.13</v>
      </c>
      <c r="J10" s="171"/>
      <c r="K10" s="172"/>
      <c r="L10" s="173"/>
      <c r="M10" s="174"/>
      <c r="N10" s="176"/>
      <c r="O10" s="361">
        <v>0</v>
      </c>
      <c r="P10" s="467">
        <v>128625.13</v>
      </c>
      <c r="Q10" s="361">
        <v>-25725.03</v>
      </c>
      <c r="S10" s="177"/>
      <c r="T10" s="178"/>
      <c r="U10" s="180"/>
      <c r="V10" s="181"/>
      <c r="W10" s="178"/>
      <c r="X10" s="180"/>
      <c r="Y10" s="177"/>
      <c r="Z10" s="178"/>
      <c r="AA10" s="180"/>
      <c r="AB10" s="177"/>
      <c r="AC10" s="178"/>
      <c r="AD10" s="180"/>
      <c r="AF10" s="352">
        <v>0</v>
      </c>
      <c r="AG10" s="353"/>
      <c r="AH10" s="354">
        <v>0</v>
      </c>
      <c r="AI10" s="355">
        <v>128625.13</v>
      </c>
      <c r="AK10" s="468"/>
    </row>
    <row r="11" spans="1:37" x14ac:dyDescent="0.25">
      <c r="A11" s="118"/>
      <c r="B11" s="241" t="s">
        <v>156</v>
      </c>
      <c r="C11" s="381" t="s">
        <v>155</v>
      </c>
      <c r="D11" s="378"/>
      <c r="E11" s="379">
        <v>74243.22</v>
      </c>
      <c r="F11" s="379">
        <v>100000</v>
      </c>
      <c r="G11" s="358">
        <v>102900.13</v>
      </c>
      <c r="H11" s="348"/>
      <c r="I11" s="359">
        <v>0</v>
      </c>
      <c r="J11" s="171"/>
      <c r="K11" s="172"/>
      <c r="L11" s="173">
        <v>8610.2999999999993</v>
      </c>
      <c r="M11" s="174"/>
      <c r="N11" s="176"/>
      <c r="O11" s="361">
        <v>8610.2999999999993</v>
      </c>
      <c r="P11" s="467">
        <v>8610.2999999999993</v>
      </c>
      <c r="Q11" s="361">
        <v>0</v>
      </c>
      <c r="S11" s="177"/>
      <c r="T11" s="178"/>
      <c r="U11" s="180"/>
      <c r="V11" s="181"/>
      <c r="W11" s="178"/>
      <c r="X11" s="180"/>
      <c r="Y11" s="177">
        <v>5867.96</v>
      </c>
      <c r="Z11" s="178"/>
      <c r="AA11" s="180"/>
      <c r="AB11" s="177"/>
      <c r="AC11" s="178"/>
      <c r="AD11" s="180"/>
      <c r="AF11" s="352">
        <v>5867.96</v>
      </c>
      <c r="AG11" s="353"/>
      <c r="AH11" s="354">
        <v>0.68150470947586039</v>
      </c>
      <c r="AI11" s="355">
        <v>2742.3399999999992</v>
      </c>
      <c r="AK11" s="468"/>
    </row>
    <row r="12" spans="1:37" x14ac:dyDescent="0.25">
      <c r="A12" s="118"/>
      <c r="B12" s="241" t="s">
        <v>157</v>
      </c>
      <c r="C12" s="381"/>
      <c r="D12" s="378"/>
      <c r="E12" s="379"/>
      <c r="F12" s="379">
        <v>104000</v>
      </c>
      <c r="G12" s="358">
        <v>35004</v>
      </c>
      <c r="H12" s="348"/>
      <c r="I12" s="359">
        <v>43755</v>
      </c>
      <c r="J12" s="171"/>
      <c r="K12" s="172"/>
      <c r="L12" s="173"/>
      <c r="M12" s="174"/>
      <c r="N12" s="176"/>
      <c r="O12" s="361">
        <v>0</v>
      </c>
      <c r="P12" s="467">
        <v>43755</v>
      </c>
      <c r="Q12" s="361">
        <v>-8751</v>
      </c>
      <c r="S12" s="177"/>
      <c r="T12" s="178"/>
      <c r="U12" s="180"/>
      <c r="V12" s="181"/>
      <c r="W12" s="178"/>
      <c r="X12" s="180"/>
      <c r="Y12" s="177"/>
      <c r="Z12" s="178"/>
      <c r="AA12" s="180"/>
      <c r="AB12" s="177"/>
      <c r="AC12" s="178"/>
      <c r="AD12" s="180"/>
      <c r="AF12" s="352">
        <v>0</v>
      </c>
      <c r="AG12" s="353"/>
      <c r="AH12" s="354">
        <v>0</v>
      </c>
      <c r="AI12" s="355">
        <v>43755</v>
      </c>
      <c r="AK12" s="468"/>
    </row>
    <row r="13" spans="1:37" x14ac:dyDescent="0.25">
      <c r="A13" s="118"/>
      <c r="B13" s="376" t="s">
        <v>158</v>
      </c>
      <c r="C13" s="377" t="s">
        <v>155</v>
      </c>
      <c r="D13" s="378"/>
      <c r="E13" s="379"/>
      <c r="F13" s="379">
        <v>216000</v>
      </c>
      <c r="G13" s="380">
        <v>217103.05</v>
      </c>
      <c r="H13" s="348"/>
      <c r="I13" s="359">
        <v>136125.04999999999</v>
      </c>
      <c r="J13" s="171"/>
      <c r="K13" s="172">
        <v>72000</v>
      </c>
      <c r="L13" s="173"/>
      <c r="M13" s="174"/>
      <c r="N13" s="176"/>
      <c r="O13" s="361">
        <v>72000</v>
      </c>
      <c r="P13" s="467">
        <v>208125.05</v>
      </c>
      <c r="Q13" s="361">
        <v>-27225.01</v>
      </c>
      <c r="S13" s="177"/>
      <c r="T13" s="178">
        <v>72000</v>
      </c>
      <c r="U13" s="180"/>
      <c r="V13" s="181"/>
      <c r="W13" s="178"/>
      <c r="X13" s="180"/>
      <c r="Y13" s="177"/>
      <c r="Z13" s="178"/>
      <c r="AA13" s="180"/>
      <c r="AB13" s="177"/>
      <c r="AC13" s="178"/>
      <c r="AD13" s="180"/>
      <c r="AF13" s="352">
        <v>72000</v>
      </c>
      <c r="AG13" s="353"/>
      <c r="AH13" s="354">
        <v>0.34594586283582879</v>
      </c>
      <c r="AI13" s="355">
        <v>136125.04999999999</v>
      </c>
      <c r="AK13" s="468"/>
    </row>
    <row r="14" spans="1:37" x14ac:dyDescent="0.25">
      <c r="A14" s="118"/>
      <c r="B14" s="376" t="s">
        <v>159</v>
      </c>
      <c r="C14" s="377"/>
      <c r="D14" s="378">
        <v>70000</v>
      </c>
      <c r="E14" s="379">
        <v>74262.899999999994</v>
      </c>
      <c r="F14" s="379"/>
      <c r="G14" s="380"/>
      <c r="H14" s="348"/>
      <c r="I14" s="359">
        <v>278418</v>
      </c>
      <c r="J14" s="171"/>
      <c r="K14" s="172"/>
      <c r="L14" s="173"/>
      <c r="M14" s="174"/>
      <c r="N14" s="176"/>
      <c r="O14" s="361">
        <v>0</v>
      </c>
      <c r="P14" s="467">
        <v>278418</v>
      </c>
      <c r="Q14" s="243">
        <v>-55683.6</v>
      </c>
      <c r="S14" s="177"/>
      <c r="T14" s="178"/>
      <c r="U14" s="180"/>
      <c r="V14" s="181"/>
      <c r="W14" s="178"/>
      <c r="X14" s="180"/>
      <c r="Y14" s="177"/>
      <c r="Z14" s="178"/>
      <c r="AA14" s="180"/>
      <c r="AB14" s="177"/>
      <c r="AC14" s="178"/>
      <c r="AD14" s="180"/>
      <c r="AF14" s="352">
        <v>0</v>
      </c>
      <c r="AG14" s="353"/>
      <c r="AH14" s="354">
        <v>0</v>
      </c>
      <c r="AI14" s="355">
        <v>278418</v>
      </c>
      <c r="AK14" s="468"/>
    </row>
    <row r="15" spans="1:37" x14ac:dyDescent="0.25">
      <c r="A15" s="118"/>
      <c r="B15" s="382" t="s">
        <v>160</v>
      </c>
      <c r="C15" s="377" t="s">
        <v>155</v>
      </c>
      <c r="D15" s="383">
        <v>132280</v>
      </c>
      <c r="E15" s="384">
        <v>135000</v>
      </c>
      <c r="F15" s="384"/>
      <c r="G15" s="385">
        <v>108000</v>
      </c>
      <c r="H15" s="348"/>
      <c r="I15" s="386">
        <v>135253</v>
      </c>
      <c r="J15" s="171"/>
      <c r="K15" s="172"/>
      <c r="L15" s="173"/>
      <c r="M15" s="174"/>
      <c r="N15" s="176"/>
      <c r="O15" s="361">
        <v>0</v>
      </c>
      <c r="P15" s="467">
        <v>135253</v>
      </c>
      <c r="Q15" s="243">
        <v>-27050.6</v>
      </c>
      <c r="S15" s="177"/>
      <c r="T15" s="178"/>
      <c r="U15" s="180"/>
      <c r="V15" s="181"/>
      <c r="W15" s="178"/>
      <c r="X15" s="180"/>
      <c r="Y15" s="177"/>
      <c r="Z15" s="178"/>
      <c r="AA15" s="180"/>
      <c r="AB15" s="177"/>
      <c r="AC15" s="178"/>
      <c r="AD15" s="180"/>
      <c r="AF15" s="352">
        <v>0</v>
      </c>
      <c r="AG15" s="353"/>
      <c r="AH15" s="354">
        <v>0</v>
      </c>
      <c r="AI15" s="355">
        <v>135253</v>
      </c>
      <c r="AK15" s="468"/>
    </row>
    <row r="16" spans="1:37" ht="16.5" thickBot="1" x14ac:dyDescent="0.3">
      <c r="A16" s="118"/>
      <c r="B16" s="382" t="s">
        <v>161</v>
      </c>
      <c r="C16" s="377"/>
      <c r="D16" s="383"/>
      <c r="E16" s="384"/>
      <c r="F16" s="384"/>
      <c r="G16" s="385">
        <v>27000</v>
      </c>
      <c r="H16" s="348"/>
      <c r="I16" s="387">
        <v>27050.6</v>
      </c>
      <c r="J16" s="247"/>
      <c r="K16" s="248"/>
      <c r="L16" s="249"/>
      <c r="M16" s="250"/>
      <c r="N16" s="252"/>
      <c r="O16" s="470">
        <v>0</v>
      </c>
      <c r="P16" s="471">
        <v>27050.6</v>
      </c>
      <c r="Q16" s="387"/>
      <c r="S16" s="197"/>
      <c r="T16" s="198"/>
      <c r="U16" s="203"/>
      <c r="V16" s="204"/>
      <c r="W16" s="198"/>
      <c r="X16" s="203"/>
      <c r="Y16" s="200"/>
      <c r="Z16" s="201"/>
      <c r="AA16" s="425"/>
      <c r="AB16" s="197"/>
      <c r="AC16" s="198"/>
      <c r="AD16" s="203"/>
      <c r="AF16" s="388">
        <v>0</v>
      </c>
      <c r="AG16" s="389"/>
      <c r="AH16" s="390">
        <v>0</v>
      </c>
      <c r="AI16" s="391">
        <v>27050.6</v>
      </c>
      <c r="AK16" s="472"/>
    </row>
    <row r="17" spans="1:37" ht="19.149999999999999" customHeight="1" thickBot="1" x14ac:dyDescent="0.3">
      <c r="A17" s="118"/>
      <c r="B17" s="473" t="s">
        <v>112</v>
      </c>
      <c r="C17" s="426"/>
      <c r="D17" s="474">
        <v>202280</v>
      </c>
      <c r="E17" s="474">
        <v>209262.9</v>
      </c>
      <c r="F17" s="474">
        <v>320000</v>
      </c>
      <c r="G17" s="427">
        <v>387107.05</v>
      </c>
      <c r="H17" s="408"/>
      <c r="I17" s="409">
        <v>775436.77999999991</v>
      </c>
      <c r="J17" s="208">
        <v>0</v>
      </c>
      <c r="K17" s="429">
        <v>72000</v>
      </c>
      <c r="L17" s="210">
        <v>0</v>
      </c>
      <c r="M17" s="211">
        <v>0</v>
      </c>
      <c r="N17" s="314">
        <v>0</v>
      </c>
      <c r="O17" s="409">
        <v>7044374.2999999998</v>
      </c>
      <c r="P17" s="409">
        <v>7819811.0799999991</v>
      </c>
      <c r="Q17" s="409">
        <v>-43225.239999999991</v>
      </c>
      <c r="S17" s="430">
        <v>0</v>
      </c>
      <c r="T17" s="430">
        <v>72000</v>
      </c>
      <c r="U17" s="430">
        <v>0</v>
      </c>
      <c r="V17" s="430">
        <v>0</v>
      </c>
      <c r="W17" s="430">
        <v>0</v>
      </c>
      <c r="X17" s="430">
        <v>0</v>
      </c>
      <c r="Y17" s="430">
        <v>11542.46</v>
      </c>
      <c r="Z17" s="430">
        <v>5674.5</v>
      </c>
      <c r="AA17" s="430">
        <v>5674.5</v>
      </c>
      <c r="AB17" s="430">
        <v>0</v>
      </c>
      <c r="AC17" s="430">
        <v>0</v>
      </c>
      <c r="AD17" s="430">
        <v>0</v>
      </c>
      <c r="AF17" s="208">
        <v>135194.96</v>
      </c>
      <c r="AG17" s="409">
        <v>31884.5</v>
      </c>
      <c r="AH17" s="431">
        <v>2.8149693223116893E-2</v>
      </c>
      <c r="AI17" s="409">
        <v>7652731.6199999992</v>
      </c>
      <c r="AK17" s="409">
        <v>-9000</v>
      </c>
    </row>
    <row r="18" spans="1:37" ht="19.5" thickBot="1" x14ac:dyDescent="0.35">
      <c r="A18" s="118"/>
      <c r="B18" s="539" t="s">
        <v>162</v>
      </c>
      <c r="C18" s="540"/>
      <c r="D18" s="392"/>
      <c r="E18" s="392"/>
      <c r="F18" s="392"/>
      <c r="G18" s="392"/>
      <c r="H18" s="475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476"/>
    </row>
    <row r="19" spans="1:37" ht="16.5" thickBot="1" x14ac:dyDescent="0.3">
      <c r="A19" s="118"/>
      <c r="B19" s="393" t="s">
        <v>163</v>
      </c>
      <c r="C19" s="394">
        <v>5339</v>
      </c>
      <c r="D19" s="395"/>
      <c r="E19" s="396"/>
      <c r="F19" s="396"/>
      <c r="G19" s="477">
        <v>20000</v>
      </c>
      <c r="H19" s="348"/>
      <c r="I19" s="401">
        <v>20000</v>
      </c>
      <c r="J19" s="478"/>
      <c r="K19" s="397"/>
      <c r="L19" s="398"/>
      <c r="M19" s="399"/>
      <c r="N19" s="400"/>
      <c r="O19" s="401">
        <v>0</v>
      </c>
      <c r="P19" s="401">
        <v>20000</v>
      </c>
      <c r="Q19" s="402">
        <v>-9000</v>
      </c>
      <c r="R19" s="403"/>
      <c r="S19" s="404"/>
      <c r="T19" s="405"/>
      <c r="U19" s="406"/>
      <c r="V19" s="407"/>
      <c r="W19" s="405"/>
      <c r="X19" s="479"/>
      <c r="Y19" s="480"/>
      <c r="Z19" s="481">
        <v>3388.32</v>
      </c>
      <c r="AA19" s="480"/>
      <c r="AB19" s="407"/>
      <c r="AC19" s="405"/>
      <c r="AD19" s="406"/>
      <c r="AE19" s="403"/>
      <c r="AF19" s="482">
        <v>3388.32</v>
      </c>
      <c r="AG19" s="483"/>
      <c r="AH19" s="484">
        <v>0.16941600000000001</v>
      </c>
      <c r="AI19" s="485">
        <v>16611.68</v>
      </c>
      <c r="AK19" s="472"/>
    </row>
    <row r="20" spans="1:37" ht="16.5" thickBot="1" x14ac:dyDescent="0.3">
      <c r="A20" s="118"/>
      <c r="B20" s="473" t="s">
        <v>112</v>
      </c>
      <c r="C20" s="426"/>
      <c r="D20" s="474"/>
      <c r="E20" s="474"/>
      <c r="F20" s="474"/>
      <c r="G20" s="486">
        <v>682907.31</v>
      </c>
      <c r="H20" s="408"/>
      <c r="I20" s="409">
        <v>20000</v>
      </c>
      <c r="J20" s="487">
        <v>5583764</v>
      </c>
      <c r="K20" s="429">
        <v>1432000</v>
      </c>
      <c r="L20" s="210">
        <v>8610.2999999999993</v>
      </c>
      <c r="M20" s="211">
        <v>20000</v>
      </c>
      <c r="N20" s="314">
        <v>0</v>
      </c>
      <c r="O20" s="409">
        <v>0</v>
      </c>
      <c r="P20" s="409">
        <v>20000</v>
      </c>
      <c r="Q20" s="409">
        <v>-9000</v>
      </c>
      <c r="S20" s="430">
        <v>17605.5</v>
      </c>
      <c r="T20" s="430">
        <v>72000</v>
      </c>
      <c r="U20" s="430">
        <v>5674.5</v>
      </c>
      <c r="V20" s="430">
        <v>5674.5</v>
      </c>
      <c r="W20" s="430">
        <v>5674.5</v>
      </c>
      <c r="X20" s="430">
        <v>5674.5</v>
      </c>
      <c r="Y20" s="430">
        <v>0</v>
      </c>
      <c r="Z20" s="430">
        <v>3388.32</v>
      </c>
      <c r="AA20" s="430">
        <v>0</v>
      </c>
      <c r="AB20" s="430">
        <v>0</v>
      </c>
      <c r="AC20" s="430">
        <v>0</v>
      </c>
      <c r="AD20" s="430">
        <v>0</v>
      </c>
      <c r="AF20" s="208">
        <v>3388.32</v>
      </c>
      <c r="AG20" s="409">
        <v>0</v>
      </c>
      <c r="AH20" s="431">
        <v>0.16941600000000001</v>
      </c>
      <c r="AI20" s="409">
        <v>16611.68</v>
      </c>
      <c r="AK20" s="409">
        <v>0</v>
      </c>
    </row>
    <row r="21" spans="1:37" ht="19.5" thickBot="1" x14ac:dyDescent="0.35">
      <c r="A21" s="118"/>
      <c r="B21" s="537">
        <v>5307</v>
      </c>
      <c r="C21" s="538"/>
      <c r="D21" s="343"/>
      <c r="E21" s="343"/>
      <c r="F21" s="343"/>
      <c r="G21" s="343"/>
      <c r="H21" s="488"/>
      <c r="I21" s="488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464"/>
    </row>
    <row r="22" spans="1:37" x14ac:dyDescent="0.25">
      <c r="A22" s="118"/>
      <c r="B22" s="410" t="s">
        <v>164</v>
      </c>
      <c r="C22" s="411"/>
      <c r="D22" s="346"/>
      <c r="E22" s="347"/>
      <c r="F22" s="347"/>
      <c r="G22" s="412">
        <v>16800</v>
      </c>
      <c r="H22" s="348"/>
      <c r="I22" s="413">
        <v>9200</v>
      </c>
      <c r="J22" s="149"/>
      <c r="K22" s="150"/>
      <c r="L22" s="151"/>
      <c r="M22" s="152"/>
      <c r="N22" s="350"/>
      <c r="O22" s="351">
        <v>0</v>
      </c>
      <c r="P22" s="351">
        <v>9200</v>
      </c>
      <c r="Q22" s="307">
        <v>-1840</v>
      </c>
      <c r="S22" s="156"/>
      <c r="T22" s="157"/>
      <c r="U22" s="298"/>
      <c r="V22" s="156"/>
      <c r="W22" s="157"/>
      <c r="X22" s="298"/>
      <c r="Y22" s="156"/>
      <c r="Z22" s="157"/>
      <c r="AA22" s="298"/>
      <c r="AB22" s="156"/>
      <c r="AC22" s="157"/>
      <c r="AD22" s="298"/>
      <c r="AF22" s="352">
        <v>0</v>
      </c>
      <c r="AG22" s="489"/>
      <c r="AH22" s="490">
        <v>0</v>
      </c>
      <c r="AI22" s="491">
        <v>9200</v>
      </c>
      <c r="AK22" s="492"/>
    </row>
    <row r="23" spans="1:37" x14ac:dyDescent="0.25">
      <c r="A23" s="118"/>
      <c r="B23" s="376" t="s">
        <v>165</v>
      </c>
      <c r="C23" s="414"/>
      <c r="D23" s="378"/>
      <c r="E23" s="379"/>
      <c r="F23" s="379"/>
      <c r="G23" s="380"/>
      <c r="H23" s="348"/>
      <c r="I23" s="415">
        <v>254800</v>
      </c>
      <c r="J23" s="171"/>
      <c r="K23" s="172">
        <v>-254800</v>
      </c>
      <c r="L23" s="173"/>
      <c r="M23" s="174"/>
      <c r="N23" s="360"/>
      <c r="O23" s="361">
        <v>-254800</v>
      </c>
      <c r="P23" s="361">
        <v>0</v>
      </c>
      <c r="Q23" s="243"/>
      <c r="S23" s="177"/>
      <c r="T23" s="178"/>
      <c r="U23" s="180"/>
      <c r="V23" s="177"/>
      <c r="W23" s="178"/>
      <c r="X23" s="180"/>
      <c r="Y23" s="177"/>
      <c r="Z23" s="178"/>
      <c r="AA23" s="180"/>
      <c r="AB23" s="177"/>
      <c r="AC23" s="178"/>
      <c r="AD23" s="180"/>
      <c r="AF23" s="352">
        <v>0</v>
      </c>
      <c r="AG23" s="489"/>
      <c r="AH23" s="493">
        <v>0</v>
      </c>
      <c r="AI23" s="491">
        <v>0</v>
      </c>
      <c r="AK23" s="492"/>
    </row>
    <row r="24" spans="1:37" x14ac:dyDescent="0.25">
      <c r="A24" s="118"/>
      <c r="B24" s="376" t="s">
        <v>166</v>
      </c>
      <c r="C24" s="414"/>
      <c r="D24" s="378"/>
      <c r="E24" s="379"/>
      <c r="F24" s="379"/>
      <c r="G24" s="380"/>
      <c r="H24" s="348"/>
      <c r="I24" s="415">
        <v>39400</v>
      </c>
      <c r="J24" s="171"/>
      <c r="K24" s="172"/>
      <c r="L24" s="173"/>
      <c r="M24" s="174"/>
      <c r="N24" s="360"/>
      <c r="O24" s="361">
        <v>0</v>
      </c>
      <c r="P24" s="361">
        <v>39400</v>
      </c>
      <c r="Q24" s="243">
        <v>-7880</v>
      </c>
      <c r="S24" s="177"/>
      <c r="T24" s="178"/>
      <c r="U24" s="180"/>
      <c r="V24" s="177"/>
      <c r="W24" s="178"/>
      <c r="X24" s="180"/>
      <c r="Y24" s="177"/>
      <c r="Z24" s="178"/>
      <c r="AA24" s="180"/>
      <c r="AB24" s="177"/>
      <c r="AC24" s="178"/>
      <c r="AD24" s="180"/>
      <c r="AF24" s="352">
        <v>0</v>
      </c>
      <c r="AG24" s="489"/>
      <c r="AH24" s="493">
        <v>0</v>
      </c>
      <c r="AI24" s="491">
        <v>39400</v>
      </c>
      <c r="AK24" s="492"/>
    </row>
    <row r="25" spans="1:37" x14ac:dyDescent="0.25">
      <c r="A25" s="118"/>
      <c r="B25" s="376" t="s">
        <v>167</v>
      </c>
      <c r="C25" s="414"/>
      <c r="D25" s="378"/>
      <c r="E25" s="379"/>
      <c r="F25" s="379"/>
      <c r="G25" s="380"/>
      <c r="H25" s="348"/>
      <c r="I25" s="415">
        <v>268891</v>
      </c>
      <c r="J25" s="171"/>
      <c r="K25" s="172">
        <v>-268891</v>
      </c>
      <c r="L25" s="173"/>
      <c r="M25" s="174"/>
      <c r="N25" s="360"/>
      <c r="O25" s="361">
        <v>-268891</v>
      </c>
      <c r="P25" s="361">
        <v>0</v>
      </c>
      <c r="Q25" s="243"/>
      <c r="S25" s="177"/>
      <c r="T25" s="178"/>
      <c r="U25" s="180"/>
      <c r="V25" s="177"/>
      <c r="W25" s="178"/>
      <c r="X25" s="180"/>
      <c r="Y25" s="177"/>
      <c r="Z25" s="178"/>
      <c r="AA25" s="180"/>
      <c r="AB25" s="177"/>
      <c r="AC25" s="178"/>
      <c r="AD25" s="180"/>
      <c r="AF25" s="352">
        <v>0</v>
      </c>
      <c r="AG25" s="489"/>
      <c r="AH25" s="493">
        <v>0</v>
      </c>
      <c r="AI25" s="491">
        <v>0</v>
      </c>
      <c r="AK25" s="492"/>
    </row>
    <row r="26" spans="1:37" ht="16.5" thickBot="1" x14ac:dyDescent="0.3">
      <c r="A26" s="118"/>
      <c r="B26" s="494" t="s">
        <v>149</v>
      </c>
      <c r="C26" s="416"/>
      <c r="D26" s="417"/>
      <c r="E26" s="418"/>
      <c r="F26" s="418"/>
      <c r="G26" s="419"/>
      <c r="H26" s="367"/>
      <c r="I26" s="420">
        <v>0</v>
      </c>
      <c r="J26" s="250"/>
      <c r="K26" s="193">
        <v>120000</v>
      </c>
      <c r="L26" s="193"/>
      <c r="M26" s="193"/>
      <c r="N26" s="421"/>
      <c r="O26" s="174">
        <v>120000</v>
      </c>
      <c r="P26" s="174">
        <v>120000</v>
      </c>
      <c r="Q26" s="174">
        <v>180000</v>
      </c>
      <c r="S26" s="422">
        <v>26317.5</v>
      </c>
      <c r="T26" s="423"/>
      <c r="U26" s="424">
        <v>8482.5</v>
      </c>
      <c r="V26" s="422">
        <v>8482.5</v>
      </c>
      <c r="W26" s="423">
        <v>8482.5</v>
      </c>
      <c r="X26" s="424">
        <v>8482.5</v>
      </c>
      <c r="Y26" s="422">
        <v>8482.5</v>
      </c>
      <c r="Z26" s="423">
        <v>8482.5</v>
      </c>
      <c r="AA26" s="424">
        <v>8482.5</v>
      </c>
      <c r="AB26" s="200"/>
      <c r="AC26" s="201"/>
      <c r="AD26" s="425"/>
      <c r="AF26" s="373">
        <v>85695</v>
      </c>
      <c r="AG26" s="234">
        <v>8482.5</v>
      </c>
      <c r="AH26" s="495">
        <v>0.78481250000000002</v>
      </c>
      <c r="AI26" s="496">
        <v>85822.5</v>
      </c>
      <c r="AK26" s="497"/>
    </row>
    <row r="27" spans="1:37" ht="16.5" thickBot="1" x14ac:dyDescent="0.3">
      <c r="A27" s="118"/>
      <c r="B27" s="473" t="s">
        <v>112</v>
      </c>
      <c r="C27" s="426"/>
      <c r="D27" s="474">
        <v>0</v>
      </c>
      <c r="E27" s="474">
        <v>0</v>
      </c>
      <c r="F27" s="474">
        <v>0</v>
      </c>
      <c r="G27" s="427">
        <v>16800</v>
      </c>
      <c r="H27" s="408"/>
      <c r="I27" s="428">
        <v>572291</v>
      </c>
      <c r="J27" s="208">
        <v>0</v>
      </c>
      <c r="K27" s="429">
        <v>-403691</v>
      </c>
      <c r="L27" s="210">
        <v>0</v>
      </c>
      <c r="M27" s="211">
        <v>0</v>
      </c>
      <c r="N27" s="314">
        <v>0</v>
      </c>
      <c r="O27" s="428">
        <v>-403691</v>
      </c>
      <c r="P27" s="428">
        <v>168600</v>
      </c>
      <c r="Q27" s="409">
        <v>170280</v>
      </c>
      <c r="S27" s="430">
        <v>26317.5</v>
      </c>
      <c r="T27" s="430">
        <v>0</v>
      </c>
      <c r="U27" s="430">
        <v>8482.5</v>
      </c>
      <c r="V27" s="430">
        <v>8482.5</v>
      </c>
      <c r="W27" s="430">
        <v>8482.5</v>
      </c>
      <c r="X27" s="430">
        <v>8482.5</v>
      </c>
      <c r="Y27" s="428">
        <v>8482.5</v>
      </c>
      <c r="Z27" s="428">
        <v>8482.5</v>
      </c>
      <c r="AA27" s="409">
        <v>8482.5</v>
      </c>
      <c r="AB27" s="430">
        <v>0</v>
      </c>
      <c r="AC27" s="430">
        <v>0</v>
      </c>
      <c r="AD27" s="430">
        <v>0</v>
      </c>
      <c r="AF27" s="428">
        <v>85695</v>
      </c>
      <c r="AG27" s="428">
        <v>8482.5</v>
      </c>
      <c r="AH27" s="431">
        <v>7.8481250000000009E-3</v>
      </c>
      <c r="AI27" s="428">
        <v>134422.5</v>
      </c>
      <c r="AK27" s="409">
        <v>0</v>
      </c>
    </row>
    <row r="28" spans="1:37" ht="16.5" thickBot="1" x14ac:dyDescent="0.3">
      <c r="A28" s="118"/>
      <c r="B28" s="432" t="s">
        <v>168</v>
      </c>
      <c r="C28" s="433"/>
      <c r="D28" s="498">
        <v>0</v>
      </c>
      <c r="E28" s="498">
        <v>0</v>
      </c>
      <c r="F28" s="498">
        <v>0</v>
      </c>
      <c r="G28" s="434">
        <v>699707.31</v>
      </c>
      <c r="H28" s="408"/>
      <c r="I28" s="435">
        <v>1367727.7799999998</v>
      </c>
      <c r="J28" s="434">
        <v>5583764</v>
      </c>
      <c r="K28" s="436">
        <v>1028309</v>
      </c>
      <c r="L28" s="437">
        <v>8610.2999999999993</v>
      </c>
      <c r="M28" s="438">
        <v>20000</v>
      </c>
      <c r="N28" s="439">
        <v>0</v>
      </c>
      <c r="O28" s="435">
        <v>6640683.2999999998</v>
      </c>
      <c r="P28" s="435">
        <v>8008411.0799999991</v>
      </c>
      <c r="Q28" s="435">
        <v>118054.76000000001</v>
      </c>
      <c r="S28" s="440">
        <v>43923</v>
      </c>
      <c r="T28" s="440">
        <v>72000</v>
      </c>
      <c r="U28" s="440">
        <v>14157</v>
      </c>
      <c r="V28" s="440">
        <v>14157</v>
      </c>
      <c r="W28" s="440">
        <v>14157</v>
      </c>
      <c r="X28" s="440">
        <v>14157</v>
      </c>
      <c r="Y28" s="435">
        <v>20024.96</v>
      </c>
      <c r="Z28" s="435">
        <v>17545.32</v>
      </c>
      <c r="AA28" s="435">
        <v>14157</v>
      </c>
      <c r="AB28" s="440">
        <v>0</v>
      </c>
      <c r="AC28" s="440">
        <v>0</v>
      </c>
      <c r="AD28" s="440">
        <v>0</v>
      </c>
      <c r="AF28" s="435">
        <v>224278.28</v>
      </c>
      <c r="AG28" s="435">
        <v>40367</v>
      </c>
      <c r="AH28" s="441">
        <v>0.20541381822311691</v>
      </c>
      <c r="AI28" s="435">
        <v>7803765.7999999989</v>
      </c>
      <c r="AK28" s="499">
        <v>-9000</v>
      </c>
    </row>
    <row r="29" spans="1:37" ht="16.5" thickBot="1" x14ac:dyDescent="0.3">
      <c r="B29" s="442" t="s">
        <v>169</v>
      </c>
      <c r="G29" s="1"/>
      <c r="Q29" s="444">
        <v>8126465.8399999989</v>
      </c>
    </row>
    <row r="30" spans="1:37" ht="16.5" thickTop="1" x14ac:dyDescent="0.25">
      <c r="B30" s="442" t="s">
        <v>170</v>
      </c>
    </row>
  </sheetData>
  <mergeCells count="3">
    <mergeCell ref="B3:C3"/>
    <mergeCell ref="B18:C18"/>
    <mergeCell ref="B21:C21"/>
  </mergeCells>
  <pageMargins left="0.7" right="0.7" top="0.75" bottom="0.75" header="0.3" footer="0.3"/>
  <pageSetup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Cash</vt:lpstr>
      <vt:lpstr>Expenditures</vt:lpstr>
      <vt:lpstr>Revenue</vt:lpstr>
      <vt:lpstr>Capital</vt:lpstr>
      <vt:lpstr>Capital!Print_Area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Armijo</cp:lastModifiedBy>
  <cp:lastPrinted>2023-04-22T21:12:48Z</cp:lastPrinted>
  <dcterms:created xsi:type="dcterms:W3CDTF">2023-04-20T18:47:16Z</dcterms:created>
  <dcterms:modified xsi:type="dcterms:W3CDTF">2023-04-22T21:13:15Z</dcterms:modified>
</cp:coreProperties>
</file>