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2f67b70b450baf/Desktop/Board Agendas 2021 to 2022/Jan 2022/"/>
    </mc:Choice>
  </mc:AlternateContent>
  <xr:revisionPtr revIDLastSave="0" documentId="8_{231BA5FD-7DA5-4424-BDD6-AF4F9DC38A3A}" xr6:coauthVersionLast="47" xr6:coauthVersionMax="47" xr10:uidLastSave="{00000000-0000-0000-0000-000000000000}"/>
  <bookViews>
    <workbookView xWindow="-120" yWindow="-120" windowWidth="20730" windowHeight="11160" activeTab="3" xr2:uid="{486FC09D-7939-2845-B602-D6FFF1019305}"/>
  </bookViews>
  <sheets>
    <sheet name="Bank Balances" sheetId="1" r:id="rId1"/>
    <sheet name="Expenditures" sheetId="2" r:id="rId2"/>
    <sheet name="Revenue" sheetId="3" r:id="rId3"/>
    <sheet name="Amendment-Expenses" sheetId="4" r:id="rId4"/>
    <sheet name="Amendment-Revenue" sheetId="5" r:id="rId5"/>
  </sheets>
  <externalReferences>
    <externalReference r:id="rId6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4" l="1"/>
  <c r="F55" i="4"/>
  <c r="G32" i="4"/>
  <c r="O32" i="4"/>
  <c r="T32" i="4"/>
  <c r="AF32" i="4"/>
  <c r="H32" i="4"/>
  <c r="J32" i="4"/>
  <c r="AJ32" i="4"/>
  <c r="AD32" i="4"/>
  <c r="Y32" i="4"/>
  <c r="I32" i="4"/>
  <c r="L13" i="3"/>
  <c r="L18" i="3"/>
  <c r="L20" i="3"/>
  <c r="L28" i="3"/>
  <c r="L29" i="3"/>
  <c r="L37" i="3"/>
  <c r="E32" i="3"/>
  <c r="E33" i="3"/>
  <c r="E34" i="3"/>
  <c r="C35" i="3"/>
  <c r="E35" i="3"/>
  <c r="E36" i="3"/>
  <c r="E5" i="3"/>
  <c r="E6" i="3"/>
  <c r="E7" i="3"/>
  <c r="E8" i="3"/>
  <c r="E9" i="3"/>
  <c r="E10" i="3"/>
  <c r="E11" i="3"/>
  <c r="E12" i="3"/>
  <c r="E13" i="3"/>
  <c r="E15" i="3"/>
  <c r="E16" i="3"/>
  <c r="C17" i="3"/>
  <c r="E17" i="3"/>
  <c r="C18" i="3"/>
  <c r="E18" i="3"/>
  <c r="E19" i="3"/>
  <c r="E20" i="3"/>
  <c r="E22" i="3"/>
  <c r="E23" i="3"/>
  <c r="E24" i="3"/>
  <c r="E25" i="3"/>
  <c r="E26" i="3"/>
  <c r="E27" i="3"/>
  <c r="E28" i="3"/>
  <c r="E29" i="3"/>
  <c r="E37" i="3"/>
  <c r="L38" i="3"/>
  <c r="K13" i="3"/>
  <c r="K20" i="3"/>
  <c r="K28" i="3"/>
  <c r="K29" i="3"/>
  <c r="K37" i="3"/>
  <c r="K38" i="3"/>
  <c r="J13" i="3"/>
  <c r="J20" i="3"/>
  <c r="J28" i="3"/>
  <c r="J29" i="3"/>
  <c r="J37" i="3"/>
  <c r="J38" i="3"/>
  <c r="G27" i="2"/>
  <c r="G5" i="2"/>
  <c r="G7" i="2"/>
  <c r="G8" i="2"/>
  <c r="G9" i="2"/>
  <c r="G10" i="2"/>
  <c r="G11" i="2"/>
  <c r="G13" i="2"/>
  <c r="D14" i="2"/>
  <c r="G14" i="2"/>
  <c r="G15" i="2"/>
  <c r="G17" i="2"/>
  <c r="G18" i="2"/>
  <c r="G19" i="2"/>
  <c r="G20" i="2"/>
  <c r="G21" i="2"/>
  <c r="G23" i="2"/>
  <c r="G24" i="2"/>
  <c r="G26" i="2"/>
  <c r="G29" i="2"/>
  <c r="G30" i="2"/>
  <c r="G31" i="2"/>
  <c r="G32" i="2"/>
  <c r="G33" i="2"/>
  <c r="G34" i="2"/>
  <c r="G35" i="2"/>
  <c r="G36" i="2"/>
  <c r="G37" i="2"/>
  <c r="G38" i="2"/>
  <c r="G39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T27" i="2"/>
  <c r="T39" i="2"/>
  <c r="Q5" i="2"/>
  <c r="R5" i="2"/>
  <c r="S5" i="2"/>
  <c r="T5" i="2"/>
  <c r="Q7" i="2"/>
  <c r="R7" i="2"/>
  <c r="S7" i="2"/>
  <c r="T7" i="2"/>
  <c r="Q8" i="2"/>
  <c r="R8" i="2"/>
  <c r="S8" i="2"/>
  <c r="T8" i="2"/>
  <c r="T9" i="2"/>
  <c r="Q10" i="2"/>
  <c r="R10" i="2"/>
  <c r="S10" i="2"/>
  <c r="T10" i="2"/>
  <c r="Q11" i="2"/>
  <c r="R11" i="2"/>
  <c r="S11" i="2"/>
  <c r="T11" i="2"/>
  <c r="Q13" i="2"/>
  <c r="R13" i="2"/>
  <c r="S13" i="2"/>
  <c r="T13" i="2"/>
  <c r="T14" i="2"/>
  <c r="Q15" i="2"/>
  <c r="R15" i="2"/>
  <c r="S15" i="2"/>
  <c r="T15" i="2"/>
  <c r="T17" i="2"/>
  <c r="T18" i="2"/>
  <c r="Q19" i="2"/>
  <c r="T19" i="2"/>
  <c r="T20" i="2"/>
  <c r="Q21" i="2"/>
  <c r="T21" i="2"/>
  <c r="T23" i="2"/>
  <c r="T24" i="2"/>
  <c r="T26" i="2"/>
  <c r="T29" i="2"/>
  <c r="T30" i="2"/>
  <c r="T31" i="2"/>
  <c r="S32" i="2"/>
  <c r="T32" i="2"/>
  <c r="Q33" i="2"/>
  <c r="R33" i="2"/>
  <c r="S33" i="2"/>
  <c r="T33" i="2"/>
  <c r="T34" i="2"/>
  <c r="T35" i="2"/>
  <c r="Q36" i="2"/>
  <c r="R36" i="2"/>
  <c r="T36" i="2"/>
  <c r="Q37" i="2"/>
  <c r="S37" i="2"/>
  <c r="T37" i="2"/>
  <c r="T38" i="2"/>
  <c r="T41" i="2"/>
  <c r="T42" i="2"/>
  <c r="R43" i="2"/>
  <c r="S43" i="2"/>
  <c r="T43" i="2"/>
  <c r="Q44" i="2"/>
  <c r="T44" i="2"/>
  <c r="Q45" i="2"/>
  <c r="R45" i="2"/>
  <c r="S45" i="2"/>
  <c r="T45" i="2"/>
  <c r="T46" i="2"/>
  <c r="T47" i="2"/>
  <c r="T48" i="2"/>
  <c r="Q49" i="2"/>
  <c r="R49" i="2"/>
  <c r="S49" i="2"/>
  <c r="T49" i="2"/>
  <c r="T50" i="2"/>
  <c r="T51" i="2"/>
  <c r="T52" i="2"/>
  <c r="T53" i="2"/>
  <c r="T54" i="2"/>
  <c r="T57" i="2"/>
  <c r="O27" i="2"/>
  <c r="O39" i="2"/>
  <c r="L5" i="2"/>
  <c r="M5" i="2"/>
  <c r="N5" i="2"/>
  <c r="O5" i="2"/>
  <c r="L7" i="2"/>
  <c r="M7" i="2"/>
  <c r="N7" i="2"/>
  <c r="O7" i="2"/>
  <c r="L8" i="2"/>
  <c r="M8" i="2"/>
  <c r="N8" i="2"/>
  <c r="O8" i="2"/>
  <c r="M9" i="2"/>
  <c r="O9" i="2"/>
  <c r="L10" i="2"/>
  <c r="N10" i="2"/>
  <c r="O10" i="2"/>
  <c r="L11" i="2"/>
  <c r="M11" i="2"/>
  <c r="N11" i="2"/>
  <c r="O11" i="2"/>
  <c r="L13" i="2"/>
  <c r="M13" i="2"/>
  <c r="N13" i="2"/>
  <c r="O13" i="2"/>
  <c r="O14" i="2"/>
  <c r="L15" i="2"/>
  <c r="M15" i="2"/>
  <c r="O15" i="2"/>
  <c r="M17" i="2"/>
  <c r="O17" i="2"/>
  <c r="N18" i="2"/>
  <c r="O18" i="2"/>
  <c r="N19" i="2"/>
  <c r="O19" i="2"/>
  <c r="O20" i="2"/>
  <c r="M21" i="2"/>
  <c r="N21" i="2"/>
  <c r="O21" i="2"/>
  <c r="O23" i="2"/>
  <c r="M24" i="2"/>
  <c r="O24" i="2"/>
  <c r="O26" i="2"/>
  <c r="O29" i="2"/>
  <c r="O30" i="2"/>
  <c r="O31" i="2"/>
  <c r="L32" i="2"/>
  <c r="N32" i="2"/>
  <c r="O32" i="2"/>
  <c r="L33" i="2"/>
  <c r="M33" i="2"/>
  <c r="N33" i="2"/>
  <c r="O33" i="2"/>
  <c r="O34" i="2"/>
  <c r="N36" i="2"/>
  <c r="O36" i="2"/>
  <c r="L37" i="2"/>
  <c r="N37" i="2"/>
  <c r="O37" i="2"/>
  <c r="O38" i="2"/>
  <c r="O41" i="2"/>
  <c r="O42" i="2"/>
  <c r="L43" i="2"/>
  <c r="M43" i="2"/>
  <c r="N43" i="2"/>
  <c r="O43" i="2"/>
  <c r="L44" i="2"/>
  <c r="M44" i="2"/>
  <c r="O44" i="2"/>
  <c r="L45" i="2"/>
  <c r="M45" i="2"/>
  <c r="N45" i="2"/>
  <c r="O45" i="2"/>
  <c r="O46" i="2"/>
  <c r="O47" i="2"/>
  <c r="O48" i="2"/>
  <c r="L49" i="2"/>
  <c r="M49" i="2"/>
  <c r="N49" i="2"/>
  <c r="O49" i="2"/>
  <c r="O50" i="2"/>
  <c r="O51" i="2"/>
  <c r="O52" i="2"/>
  <c r="O53" i="2"/>
  <c r="O54" i="2"/>
  <c r="O57" i="2"/>
  <c r="E13" i="5"/>
  <c r="E20" i="5"/>
  <c r="E28" i="5"/>
  <c r="E29" i="5"/>
  <c r="E37" i="5"/>
  <c r="F25" i="5"/>
  <c r="F36" i="5"/>
  <c r="C35" i="5"/>
  <c r="F35" i="5"/>
  <c r="F34" i="5"/>
  <c r="F33" i="5"/>
  <c r="F32" i="5"/>
  <c r="F27" i="5"/>
  <c r="F26" i="5"/>
  <c r="F24" i="5"/>
  <c r="F23" i="5"/>
  <c r="F22" i="5"/>
  <c r="F19" i="5"/>
  <c r="C18" i="5"/>
  <c r="F18" i="5"/>
  <c r="C17" i="5"/>
  <c r="F17" i="5"/>
  <c r="F16" i="5"/>
  <c r="F15" i="5"/>
  <c r="F12" i="5"/>
  <c r="F11" i="5"/>
  <c r="F10" i="5"/>
  <c r="F9" i="5"/>
  <c r="F8" i="5"/>
  <c r="F7" i="5"/>
  <c r="F6" i="5"/>
  <c r="F5" i="5"/>
  <c r="U41" i="5"/>
  <c r="X41" i="5"/>
  <c r="U42" i="5"/>
  <c r="X42" i="5"/>
  <c r="U43" i="5"/>
  <c r="X43" i="5"/>
  <c r="U44" i="5"/>
  <c r="X44" i="5"/>
  <c r="U45" i="5"/>
  <c r="X45" i="5"/>
  <c r="X46" i="5"/>
  <c r="V46" i="5"/>
  <c r="U46" i="5"/>
  <c r="S46" i="5"/>
  <c r="R46" i="5"/>
  <c r="Q46" i="5"/>
  <c r="P46" i="5"/>
  <c r="O46" i="5"/>
  <c r="N46" i="5"/>
  <c r="M46" i="5"/>
  <c r="L46" i="5"/>
  <c r="K46" i="5"/>
  <c r="J46" i="5"/>
  <c r="I46" i="5"/>
  <c r="H46" i="5"/>
  <c r="U25" i="5"/>
  <c r="X25" i="5"/>
  <c r="W25" i="5"/>
  <c r="U32" i="5"/>
  <c r="X32" i="5"/>
  <c r="U33" i="5"/>
  <c r="X33" i="5"/>
  <c r="U34" i="5"/>
  <c r="X34" i="5"/>
  <c r="U35" i="5"/>
  <c r="X35" i="5"/>
  <c r="U36" i="5"/>
  <c r="X36" i="5"/>
  <c r="U5" i="5"/>
  <c r="X5" i="5"/>
  <c r="U6" i="5"/>
  <c r="X6" i="5"/>
  <c r="U7" i="5"/>
  <c r="X7" i="5"/>
  <c r="U8" i="5"/>
  <c r="X8" i="5"/>
  <c r="U9" i="5"/>
  <c r="X9" i="5"/>
  <c r="U10" i="5"/>
  <c r="X10" i="5"/>
  <c r="U11" i="5"/>
  <c r="X11" i="5"/>
  <c r="U12" i="5"/>
  <c r="X12" i="5"/>
  <c r="X13" i="5"/>
  <c r="U15" i="5"/>
  <c r="X15" i="5"/>
  <c r="U16" i="5"/>
  <c r="X16" i="5"/>
  <c r="H17" i="5"/>
  <c r="J17" i="5"/>
  <c r="U17" i="5"/>
  <c r="X17" i="5"/>
  <c r="M18" i="5"/>
  <c r="U18" i="5"/>
  <c r="X18" i="5"/>
  <c r="U19" i="5"/>
  <c r="X19" i="5"/>
  <c r="X20" i="5"/>
  <c r="U22" i="5"/>
  <c r="X22" i="5"/>
  <c r="U23" i="5"/>
  <c r="X23" i="5"/>
  <c r="U24" i="5"/>
  <c r="X24" i="5"/>
  <c r="U26" i="5"/>
  <c r="X26" i="5"/>
  <c r="J27" i="5"/>
  <c r="U27" i="5"/>
  <c r="X27" i="5"/>
  <c r="X28" i="5"/>
  <c r="X29" i="5"/>
  <c r="X37" i="5"/>
  <c r="U13" i="5"/>
  <c r="U20" i="5"/>
  <c r="U28" i="5"/>
  <c r="U29" i="5"/>
  <c r="U37" i="5"/>
  <c r="V13" i="5"/>
  <c r="V20" i="5"/>
  <c r="V28" i="5"/>
  <c r="V29" i="5"/>
  <c r="V37" i="5"/>
  <c r="C13" i="5"/>
  <c r="C20" i="5"/>
  <c r="C28" i="5"/>
  <c r="C29" i="5"/>
  <c r="C37" i="5"/>
  <c r="W37" i="5"/>
  <c r="S13" i="5"/>
  <c r="S20" i="5"/>
  <c r="S28" i="5"/>
  <c r="S29" i="5"/>
  <c r="S37" i="5"/>
  <c r="R13" i="5"/>
  <c r="R20" i="5"/>
  <c r="R28" i="5"/>
  <c r="R29" i="5"/>
  <c r="R37" i="5"/>
  <c r="Q13" i="5"/>
  <c r="Q20" i="5"/>
  <c r="Q28" i="5"/>
  <c r="Q29" i="5"/>
  <c r="Q37" i="5"/>
  <c r="P13" i="5"/>
  <c r="P20" i="5"/>
  <c r="P28" i="5"/>
  <c r="P29" i="5"/>
  <c r="P37" i="5"/>
  <c r="O13" i="5"/>
  <c r="O20" i="5"/>
  <c r="O28" i="5"/>
  <c r="O29" i="5"/>
  <c r="O37" i="5"/>
  <c r="N13" i="5"/>
  <c r="N20" i="5"/>
  <c r="N28" i="5"/>
  <c r="N29" i="5"/>
  <c r="N37" i="5"/>
  <c r="M13" i="5"/>
  <c r="M20" i="5"/>
  <c r="M28" i="5"/>
  <c r="M29" i="5"/>
  <c r="M37" i="5"/>
  <c r="L13" i="5"/>
  <c r="L20" i="5"/>
  <c r="L28" i="5"/>
  <c r="L29" i="5"/>
  <c r="L37" i="5"/>
  <c r="K13" i="5"/>
  <c r="K20" i="5"/>
  <c r="K28" i="5"/>
  <c r="K29" i="5"/>
  <c r="K37" i="5"/>
  <c r="J13" i="5"/>
  <c r="J20" i="5"/>
  <c r="J28" i="5"/>
  <c r="J29" i="5"/>
  <c r="J37" i="5"/>
  <c r="I13" i="5"/>
  <c r="I20" i="5"/>
  <c r="I28" i="5"/>
  <c r="I29" i="5"/>
  <c r="I37" i="5"/>
  <c r="H13" i="5"/>
  <c r="H20" i="5"/>
  <c r="H28" i="5"/>
  <c r="H29" i="5"/>
  <c r="H37" i="5"/>
  <c r="F13" i="5"/>
  <c r="F20" i="5"/>
  <c r="F28" i="5"/>
  <c r="F29" i="5"/>
  <c r="F37" i="5"/>
  <c r="D13" i="5"/>
  <c r="D20" i="5"/>
  <c r="D28" i="5"/>
  <c r="D29" i="5"/>
  <c r="D37" i="5"/>
  <c r="W36" i="5"/>
  <c r="W35" i="5"/>
  <c r="W34" i="5"/>
  <c r="W33" i="5"/>
  <c r="W32" i="5"/>
  <c r="W29" i="5"/>
  <c r="W28" i="5"/>
  <c r="W27" i="5"/>
  <c r="W26" i="5"/>
  <c r="W24" i="5"/>
  <c r="W23" i="5"/>
  <c r="W22" i="5"/>
  <c r="W20" i="5"/>
  <c r="W19" i="5"/>
  <c r="W18" i="5"/>
  <c r="W17" i="5"/>
  <c r="W15" i="5"/>
  <c r="W13" i="5"/>
  <c r="W12" i="5"/>
  <c r="W11" i="5"/>
  <c r="W10" i="5"/>
  <c r="W9" i="5"/>
  <c r="W8" i="5"/>
  <c r="W7" i="5"/>
  <c r="W6" i="5"/>
  <c r="W5" i="5"/>
  <c r="T27" i="3"/>
  <c r="W27" i="3"/>
  <c r="V27" i="3"/>
  <c r="AH5" i="4"/>
  <c r="AH7" i="4"/>
  <c r="AH8" i="4"/>
  <c r="AH10" i="4"/>
  <c r="AH11" i="4"/>
  <c r="AH13" i="4"/>
  <c r="AH15" i="4"/>
  <c r="AH18" i="4"/>
  <c r="AH19" i="4"/>
  <c r="AH21" i="4"/>
  <c r="AH24" i="4"/>
  <c r="AH28" i="4"/>
  <c r="AH33" i="4"/>
  <c r="AH34" i="4"/>
  <c r="AH37" i="4"/>
  <c r="AH38" i="4"/>
  <c r="AH39" i="4"/>
  <c r="AH40" i="4"/>
  <c r="AH42" i="4"/>
  <c r="AH44" i="4"/>
  <c r="AH45" i="4"/>
  <c r="AH46" i="4"/>
  <c r="AH50" i="4"/>
  <c r="AH55" i="4"/>
  <c r="AH57" i="4"/>
  <c r="L5" i="4"/>
  <c r="M5" i="4"/>
  <c r="N5" i="4"/>
  <c r="O5" i="4"/>
  <c r="Q5" i="4"/>
  <c r="R5" i="4"/>
  <c r="S5" i="4"/>
  <c r="T5" i="4"/>
  <c r="AF5" i="4"/>
  <c r="L7" i="4"/>
  <c r="M7" i="4"/>
  <c r="N7" i="4"/>
  <c r="O7" i="4"/>
  <c r="Q7" i="4"/>
  <c r="R7" i="4"/>
  <c r="S7" i="4"/>
  <c r="T7" i="4"/>
  <c r="AF7" i="4"/>
  <c r="L8" i="4"/>
  <c r="M8" i="4"/>
  <c r="N8" i="4"/>
  <c r="O8" i="4"/>
  <c r="Q8" i="4"/>
  <c r="R8" i="4"/>
  <c r="S8" i="4"/>
  <c r="T8" i="4"/>
  <c r="AF8" i="4"/>
  <c r="M9" i="4"/>
  <c r="O9" i="4"/>
  <c r="T9" i="4"/>
  <c r="AF9" i="4"/>
  <c r="L10" i="4"/>
  <c r="N10" i="4"/>
  <c r="O10" i="4"/>
  <c r="Q10" i="4"/>
  <c r="R10" i="4"/>
  <c r="S10" i="4"/>
  <c r="T10" i="4"/>
  <c r="AF10" i="4"/>
  <c r="L11" i="4"/>
  <c r="M11" i="4"/>
  <c r="N11" i="4"/>
  <c r="O11" i="4"/>
  <c r="Q11" i="4"/>
  <c r="R11" i="4"/>
  <c r="S11" i="4"/>
  <c r="T11" i="4"/>
  <c r="AF11" i="4"/>
  <c r="L13" i="4"/>
  <c r="M13" i="4"/>
  <c r="N13" i="4"/>
  <c r="O13" i="4"/>
  <c r="Q13" i="4"/>
  <c r="R13" i="4"/>
  <c r="S13" i="4"/>
  <c r="T13" i="4"/>
  <c r="AF13" i="4"/>
  <c r="O14" i="4"/>
  <c r="T14" i="4"/>
  <c r="AF14" i="4"/>
  <c r="L15" i="4"/>
  <c r="M15" i="4"/>
  <c r="O15" i="4"/>
  <c r="Q15" i="4"/>
  <c r="R15" i="4"/>
  <c r="S15" i="4"/>
  <c r="T15" i="4"/>
  <c r="AF15" i="4"/>
  <c r="M17" i="4"/>
  <c r="O17" i="4"/>
  <c r="T17" i="4"/>
  <c r="AF17" i="4"/>
  <c r="N18" i="4"/>
  <c r="O18" i="4"/>
  <c r="T18" i="4"/>
  <c r="AF18" i="4"/>
  <c r="N19" i="4"/>
  <c r="O19" i="4"/>
  <c r="Q19" i="4"/>
  <c r="T19" i="4"/>
  <c r="AF19" i="4"/>
  <c r="O20" i="4"/>
  <c r="T20" i="4"/>
  <c r="AF20" i="4"/>
  <c r="M21" i="4"/>
  <c r="N21" i="4"/>
  <c r="O21" i="4"/>
  <c r="Q21" i="4"/>
  <c r="T21" i="4"/>
  <c r="AF21" i="4"/>
  <c r="O23" i="4"/>
  <c r="T23" i="4"/>
  <c r="AF23" i="4"/>
  <c r="M24" i="4"/>
  <c r="O24" i="4"/>
  <c r="T24" i="4"/>
  <c r="AF24" i="4"/>
  <c r="O26" i="4"/>
  <c r="T26" i="4"/>
  <c r="AF26" i="4"/>
  <c r="O27" i="4"/>
  <c r="T27" i="4"/>
  <c r="AF27" i="4"/>
  <c r="O28" i="4"/>
  <c r="T28" i="4"/>
  <c r="AF28" i="4"/>
  <c r="O30" i="4"/>
  <c r="T30" i="4"/>
  <c r="AF30" i="4"/>
  <c r="O31" i="4"/>
  <c r="T31" i="4"/>
  <c r="AF31" i="4"/>
  <c r="L33" i="4"/>
  <c r="N33" i="4"/>
  <c r="O33" i="4"/>
  <c r="S33" i="4"/>
  <c r="T33" i="4"/>
  <c r="AF33" i="4"/>
  <c r="L34" i="4"/>
  <c r="M34" i="4"/>
  <c r="N34" i="4"/>
  <c r="O34" i="4"/>
  <c r="Q34" i="4"/>
  <c r="R34" i="4"/>
  <c r="S34" i="4"/>
  <c r="T34" i="4"/>
  <c r="AF34" i="4"/>
  <c r="O35" i="4"/>
  <c r="T35" i="4"/>
  <c r="AF35" i="4"/>
  <c r="T36" i="4"/>
  <c r="AF36" i="4"/>
  <c r="N37" i="4"/>
  <c r="O37" i="4"/>
  <c r="Q37" i="4"/>
  <c r="R37" i="4"/>
  <c r="T37" i="4"/>
  <c r="AF37" i="4"/>
  <c r="L38" i="4"/>
  <c r="N38" i="4"/>
  <c r="O38" i="4"/>
  <c r="Q38" i="4"/>
  <c r="S38" i="4"/>
  <c r="T38" i="4"/>
  <c r="AF38" i="4"/>
  <c r="O39" i="4"/>
  <c r="T39" i="4"/>
  <c r="AF39" i="4"/>
  <c r="O40" i="4"/>
  <c r="T40" i="4"/>
  <c r="AF40" i="4"/>
  <c r="O42" i="4"/>
  <c r="T42" i="4"/>
  <c r="AF42" i="4"/>
  <c r="O43" i="4"/>
  <c r="T43" i="4"/>
  <c r="AF43" i="4"/>
  <c r="L44" i="4"/>
  <c r="M44" i="4"/>
  <c r="N44" i="4"/>
  <c r="O44" i="4"/>
  <c r="R44" i="4"/>
  <c r="S44" i="4"/>
  <c r="T44" i="4"/>
  <c r="AF44" i="4"/>
  <c r="L45" i="4"/>
  <c r="M45" i="4"/>
  <c r="O45" i="4"/>
  <c r="Q45" i="4"/>
  <c r="T45" i="4"/>
  <c r="AF45" i="4"/>
  <c r="L46" i="4"/>
  <c r="M46" i="4"/>
  <c r="N46" i="4"/>
  <c r="O46" i="4"/>
  <c r="Q46" i="4"/>
  <c r="R46" i="4"/>
  <c r="S46" i="4"/>
  <c r="T46" i="4"/>
  <c r="AF46" i="4"/>
  <c r="O47" i="4"/>
  <c r="T47" i="4"/>
  <c r="AF47" i="4"/>
  <c r="O48" i="4"/>
  <c r="T48" i="4"/>
  <c r="AF48" i="4"/>
  <c r="O49" i="4"/>
  <c r="T49" i="4"/>
  <c r="AF49" i="4"/>
  <c r="L50" i="4"/>
  <c r="M50" i="4"/>
  <c r="N50" i="4"/>
  <c r="O50" i="4"/>
  <c r="Q50" i="4"/>
  <c r="R50" i="4"/>
  <c r="S50" i="4"/>
  <c r="T50" i="4"/>
  <c r="AF50" i="4"/>
  <c r="O51" i="4"/>
  <c r="T51" i="4"/>
  <c r="AF51" i="4"/>
  <c r="O52" i="4"/>
  <c r="T52" i="4"/>
  <c r="AF52" i="4"/>
  <c r="O53" i="4"/>
  <c r="T53" i="4"/>
  <c r="AF53" i="4"/>
  <c r="O54" i="4"/>
  <c r="T54" i="4"/>
  <c r="AF54" i="4"/>
  <c r="AF55" i="4"/>
  <c r="AF57" i="4"/>
  <c r="S55" i="4"/>
  <c r="S57" i="4"/>
  <c r="R55" i="4"/>
  <c r="R57" i="4"/>
  <c r="Q55" i="4"/>
  <c r="Q57" i="4"/>
  <c r="N55" i="4"/>
  <c r="N57" i="4"/>
  <c r="M55" i="4"/>
  <c r="M57" i="4"/>
  <c r="L55" i="4"/>
  <c r="L57" i="4"/>
  <c r="AJ5" i="4"/>
  <c r="AJ7" i="4"/>
  <c r="AJ8" i="4"/>
  <c r="AJ9" i="4"/>
  <c r="AJ10" i="4"/>
  <c r="AJ11" i="4"/>
  <c r="AJ13" i="4"/>
  <c r="AJ14" i="4"/>
  <c r="AJ15" i="4"/>
  <c r="AJ17" i="4"/>
  <c r="AJ18" i="4"/>
  <c r="AJ19" i="4"/>
  <c r="AJ20" i="4"/>
  <c r="AJ21" i="4"/>
  <c r="AJ23" i="4"/>
  <c r="AJ24" i="4"/>
  <c r="AJ26" i="4"/>
  <c r="AJ27" i="4"/>
  <c r="AJ28" i="4"/>
  <c r="AJ30" i="4"/>
  <c r="AJ31" i="4"/>
  <c r="AJ33" i="4"/>
  <c r="AJ34" i="4"/>
  <c r="AJ35" i="4"/>
  <c r="AJ36" i="4"/>
  <c r="AJ37" i="4"/>
  <c r="AJ38" i="4"/>
  <c r="AJ39" i="4"/>
  <c r="AJ40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D5" i="4"/>
  <c r="AD7" i="4"/>
  <c r="AD8" i="4"/>
  <c r="AD9" i="4"/>
  <c r="AD10" i="4"/>
  <c r="AD11" i="4"/>
  <c r="AD13" i="4"/>
  <c r="AD14" i="4"/>
  <c r="AD15" i="4"/>
  <c r="AD16" i="4"/>
  <c r="AD17" i="4"/>
  <c r="AD18" i="4"/>
  <c r="AD19" i="4"/>
  <c r="AD20" i="4"/>
  <c r="AD21" i="4"/>
  <c r="AD23" i="4"/>
  <c r="AD24" i="4"/>
  <c r="AD26" i="4"/>
  <c r="AD27" i="4"/>
  <c r="AD28" i="4"/>
  <c r="AD30" i="4"/>
  <c r="AD31" i="4"/>
  <c r="AD33" i="4"/>
  <c r="AD34" i="4"/>
  <c r="AD37" i="4"/>
  <c r="AD38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C55" i="4"/>
  <c r="AB55" i="4"/>
  <c r="AA55" i="4"/>
  <c r="Y5" i="4"/>
  <c r="Y7" i="4"/>
  <c r="Y8" i="4"/>
  <c r="Y9" i="4"/>
  <c r="Y10" i="4"/>
  <c r="Y11" i="4"/>
  <c r="Y13" i="4"/>
  <c r="Y14" i="4"/>
  <c r="Y15" i="4"/>
  <c r="Y17" i="4"/>
  <c r="Y18" i="4"/>
  <c r="Y19" i="4"/>
  <c r="Y20" i="4"/>
  <c r="Y21" i="4"/>
  <c r="Y23" i="4"/>
  <c r="Y24" i="4"/>
  <c r="Y26" i="4"/>
  <c r="Y27" i="4"/>
  <c r="Y28" i="4"/>
  <c r="Y30" i="4"/>
  <c r="Y31" i="4"/>
  <c r="Y33" i="4"/>
  <c r="Y34" i="4"/>
  <c r="Y37" i="4"/>
  <c r="Y38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X55" i="4"/>
  <c r="W55" i="4"/>
  <c r="V55" i="4"/>
  <c r="T55" i="4"/>
  <c r="O55" i="4"/>
  <c r="G5" i="4"/>
  <c r="H5" i="4"/>
  <c r="J5" i="4"/>
  <c r="G7" i="4"/>
  <c r="H7" i="4"/>
  <c r="J7" i="4"/>
  <c r="G8" i="4"/>
  <c r="H8" i="4"/>
  <c r="J8" i="4"/>
  <c r="G9" i="4"/>
  <c r="H9" i="4"/>
  <c r="J9" i="4"/>
  <c r="G10" i="4"/>
  <c r="H10" i="4"/>
  <c r="J10" i="4"/>
  <c r="G11" i="4"/>
  <c r="H11" i="4"/>
  <c r="J11" i="4"/>
  <c r="J12" i="4"/>
  <c r="G13" i="4"/>
  <c r="H13" i="4"/>
  <c r="J13" i="4"/>
  <c r="D14" i="4"/>
  <c r="G14" i="4"/>
  <c r="H14" i="4"/>
  <c r="J14" i="4"/>
  <c r="G15" i="4"/>
  <c r="H15" i="4"/>
  <c r="J15" i="4"/>
  <c r="G17" i="4"/>
  <c r="H17" i="4"/>
  <c r="J17" i="4"/>
  <c r="G18" i="4"/>
  <c r="H18" i="4"/>
  <c r="J18" i="4"/>
  <c r="G19" i="4"/>
  <c r="H19" i="4"/>
  <c r="J19" i="4"/>
  <c r="G20" i="4"/>
  <c r="H20" i="4"/>
  <c r="J20" i="4"/>
  <c r="G21" i="4"/>
  <c r="H21" i="4"/>
  <c r="J21" i="4"/>
  <c r="G23" i="4"/>
  <c r="H23" i="4"/>
  <c r="J23" i="4"/>
  <c r="G24" i="4"/>
  <c r="H24" i="4"/>
  <c r="J24" i="4"/>
  <c r="G26" i="4"/>
  <c r="H26" i="4"/>
  <c r="J26" i="4"/>
  <c r="G27" i="4"/>
  <c r="H27" i="4"/>
  <c r="J27" i="4"/>
  <c r="G28" i="4"/>
  <c r="H28" i="4"/>
  <c r="J28" i="4"/>
  <c r="G30" i="4"/>
  <c r="H30" i="4"/>
  <c r="J30" i="4"/>
  <c r="G31" i="4"/>
  <c r="H31" i="4"/>
  <c r="J31" i="4"/>
  <c r="G33" i="4"/>
  <c r="H33" i="4"/>
  <c r="J33" i="4"/>
  <c r="G34" i="4"/>
  <c r="H34" i="4"/>
  <c r="J34" i="4"/>
  <c r="G35" i="4"/>
  <c r="H35" i="4"/>
  <c r="J35" i="4"/>
  <c r="G36" i="4"/>
  <c r="H36" i="4"/>
  <c r="J36" i="4"/>
  <c r="G37" i="4"/>
  <c r="H37" i="4"/>
  <c r="J37" i="4"/>
  <c r="G38" i="4"/>
  <c r="H38" i="4"/>
  <c r="J38" i="4"/>
  <c r="G39" i="4"/>
  <c r="H39" i="4"/>
  <c r="J39" i="4"/>
  <c r="G40" i="4"/>
  <c r="J40" i="4"/>
  <c r="G42" i="4"/>
  <c r="H42" i="4"/>
  <c r="J42" i="4"/>
  <c r="G43" i="4"/>
  <c r="H43" i="4"/>
  <c r="J43" i="4"/>
  <c r="G44" i="4"/>
  <c r="H44" i="4"/>
  <c r="J44" i="4"/>
  <c r="G45" i="4"/>
  <c r="H45" i="4"/>
  <c r="J45" i="4"/>
  <c r="G46" i="4"/>
  <c r="H46" i="4"/>
  <c r="J46" i="4"/>
  <c r="G47" i="4"/>
  <c r="H47" i="4"/>
  <c r="J47" i="4"/>
  <c r="G48" i="4"/>
  <c r="H48" i="4"/>
  <c r="J48" i="4"/>
  <c r="G49" i="4"/>
  <c r="H49" i="4"/>
  <c r="J49" i="4"/>
  <c r="G50" i="4"/>
  <c r="H50" i="4"/>
  <c r="J50" i="4"/>
  <c r="G51" i="4"/>
  <c r="H51" i="4"/>
  <c r="J51" i="4"/>
  <c r="G52" i="4"/>
  <c r="H52" i="4"/>
  <c r="J52" i="4"/>
  <c r="G53" i="4"/>
  <c r="H53" i="4"/>
  <c r="J53" i="4"/>
  <c r="G54" i="4"/>
  <c r="H54" i="4"/>
  <c r="J54" i="4"/>
  <c r="J55" i="4"/>
  <c r="H55" i="4"/>
  <c r="G55" i="4"/>
  <c r="I55" i="4"/>
  <c r="E55" i="4"/>
  <c r="D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39" i="4"/>
  <c r="I38" i="4"/>
  <c r="I37" i="4"/>
  <c r="I36" i="4"/>
  <c r="I35" i="4"/>
  <c r="I34" i="4"/>
  <c r="I33" i="4"/>
  <c r="I31" i="4"/>
  <c r="I30" i="4"/>
  <c r="I28" i="4"/>
  <c r="I27" i="4"/>
  <c r="I26" i="4"/>
  <c r="I24" i="4"/>
  <c r="I23" i="4"/>
  <c r="I21" i="4"/>
  <c r="I19" i="4"/>
  <c r="I18" i="4"/>
  <c r="I17" i="4"/>
  <c r="I15" i="4"/>
  <c r="I14" i="4"/>
  <c r="I13" i="4"/>
  <c r="I11" i="4"/>
  <c r="I10" i="4"/>
  <c r="I9" i="4"/>
  <c r="I8" i="4"/>
  <c r="I7" i="4"/>
  <c r="I5" i="4"/>
  <c r="T41" i="3"/>
  <c r="W41" i="3"/>
  <c r="T42" i="3"/>
  <c r="W42" i="3"/>
  <c r="T43" i="3"/>
  <c r="W43" i="3"/>
  <c r="T44" i="3"/>
  <c r="W44" i="3"/>
  <c r="T45" i="3"/>
  <c r="W45" i="3"/>
  <c r="W46" i="3"/>
  <c r="U46" i="3"/>
  <c r="T46" i="3"/>
  <c r="R46" i="3"/>
  <c r="Q46" i="3"/>
  <c r="P46" i="3"/>
  <c r="O46" i="3"/>
  <c r="N46" i="3"/>
  <c r="M46" i="3"/>
  <c r="L46" i="3"/>
  <c r="K46" i="3"/>
  <c r="J46" i="3"/>
  <c r="I46" i="3"/>
  <c r="H46" i="3"/>
  <c r="G46" i="3"/>
  <c r="T32" i="3"/>
  <c r="W32" i="3"/>
  <c r="T33" i="3"/>
  <c r="W33" i="3"/>
  <c r="T34" i="3"/>
  <c r="W34" i="3"/>
  <c r="T35" i="3"/>
  <c r="W35" i="3"/>
  <c r="T36" i="3"/>
  <c r="W36" i="3"/>
  <c r="T5" i="3"/>
  <c r="W5" i="3"/>
  <c r="T6" i="3"/>
  <c r="W6" i="3"/>
  <c r="T7" i="3"/>
  <c r="W7" i="3"/>
  <c r="T8" i="3"/>
  <c r="W8" i="3"/>
  <c r="T9" i="3"/>
  <c r="W9" i="3"/>
  <c r="T10" i="3"/>
  <c r="W10" i="3"/>
  <c r="T11" i="3"/>
  <c r="W11" i="3"/>
  <c r="T12" i="3"/>
  <c r="W12" i="3"/>
  <c r="W13" i="3"/>
  <c r="T15" i="3"/>
  <c r="W15" i="3"/>
  <c r="T16" i="3"/>
  <c r="W16" i="3"/>
  <c r="G17" i="3"/>
  <c r="I17" i="3"/>
  <c r="T17" i="3"/>
  <c r="W17" i="3"/>
  <c r="T18" i="3"/>
  <c r="W18" i="3"/>
  <c r="T19" i="3"/>
  <c r="W19" i="3"/>
  <c r="W20" i="3"/>
  <c r="T22" i="3"/>
  <c r="W22" i="3"/>
  <c r="T23" i="3"/>
  <c r="W23" i="3"/>
  <c r="T24" i="3"/>
  <c r="W24" i="3"/>
  <c r="T25" i="3"/>
  <c r="W25" i="3"/>
  <c r="I26" i="3"/>
  <c r="T26" i="3"/>
  <c r="W26" i="3"/>
  <c r="W28" i="3"/>
  <c r="W29" i="3"/>
  <c r="W37" i="3"/>
  <c r="T13" i="3"/>
  <c r="T20" i="3"/>
  <c r="T28" i="3"/>
  <c r="T29" i="3"/>
  <c r="T37" i="3"/>
  <c r="U13" i="3"/>
  <c r="U20" i="3"/>
  <c r="U28" i="3"/>
  <c r="U29" i="3"/>
  <c r="U37" i="3"/>
  <c r="C13" i="3"/>
  <c r="C20" i="3"/>
  <c r="C28" i="3"/>
  <c r="C29" i="3"/>
  <c r="C37" i="3"/>
  <c r="V37" i="3"/>
  <c r="R13" i="3"/>
  <c r="R20" i="3"/>
  <c r="R28" i="3"/>
  <c r="R29" i="3"/>
  <c r="R37" i="3"/>
  <c r="Q13" i="3"/>
  <c r="Q20" i="3"/>
  <c r="Q28" i="3"/>
  <c r="Q29" i="3"/>
  <c r="Q37" i="3"/>
  <c r="P13" i="3"/>
  <c r="P20" i="3"/>
  <c r="P28" i="3"/>
  <c r="P29" i="3"/>
  <c r="P37" i="3"/>
  <c r="O13" i="3"/>
  <c r="O20" i="3"/>
  <c r="O28" i="3"/>
  <c r="O29" i="3"/>
  <c r="O37" i="3"/>
  <c r="N13" i="3"/>
  <c r="N20" i="3"/>
  <c r="N28" i="3"/>
  <c r="N29" i="3"/>
  <c r="N37" i="3"/>
  <c r="M13" i="3"/>
  <c r="M20" i="3"/>
  <c r="M28" i="3"/>
  <c r="M29" i="3"/>
  <c r="M37" i="3"/>
  <c r="I13" i="3"/>
  <c r="I20" i="3"/>
  <c r="I28" i="3"/>
  <c r="I29" i="3"/>
  <c r="I37" i="3"/>
  <c r="H13" i="3"/>
  <c r="H20" i="3"/>
  <c r="H28" i="3"/>
  <c r="H29" i="3"/>
  <c r="H37" i="3"/>
  <c r="G13" i="3"/>
  <c r="G20" i="3"/>
  <c r="G28" i="3"/>
  <c r="G29" i="3"/>
  <c r="G37" i="3"/>
  <c r="D13" i="3"/>
  <c r="D20" i="3"/>
  <c r="D28" i="3"/>
  <c r="D29" i="3"/>
  <c r="D37" i="3"/>
  <c r="V36" i="3"/>
  <c r="V35" i="3"/>
  <c r="V34" i="3"/>
  <c r="V33" i="3"/>
  <c r="V32" i="3"/>
  <c r="V29" i="3"/>
  <c r="V28" i="3"/>
  <c r="V26" i="3"/>
  <c r="V25" i="3"/>
  <c r="V24" i="3"/>
  <c r="V23" i="3"/>
  <c r="V22" i="3"/>
  <c r="V20" i="3"/>
  <c r="V19" i="3"/>
  <c r="V18" i="3"/>
  <c r="V17" i="3"/>
  <c r="V15" i="3"/>
  <c r="V13" i="3"/>
  <c r="V12" i="3"/>
  <c r="V11" i="3"/>
  <c r="V10" i="3"/>
  <c r="V9" i="3"/>
  <c r="V8" i="3"/>
  <c r="V7" i="3"/>
  <c r="V6" i="3"/>
  <c r="V5" i="3"/>
  <c r="AH5" i="2"/>
  <c r="AH7" i="2"/>
  <c r="AH8" i="2"/>
  <c r="AH10" i="2"/>
  <c r="AH11" i="2"/>
  <c r="AH13" i="2"/>
  <c r="AH15" i="2"/>
  <c r="AH18" i="2"/>
  <c r="AH19" i="2"/>
  <c r="AH21" i="2"/>
  <c r="AH24" i="2"/>
  <c r="AH27" i="2"/>
  <c r="AH32" i="2"/>
  <c r="AH33" i="2"/>
  <c r="AH36" i="2"/>
  <c r="AH37" i="2"/>
  <c r="AH38" i="2"/>
  <c r="AH39" i="2"/>
  <c r="AH41" i="2"/>
  <c r="AH43" i="2"/>
  <c r="AH44" i="2"/>
  <c r="AH45" i="2"/>
  <c r="AH49" i="2"/>
  <c r="AH54" i="2"/>
  <c r="AH56" i="2"/>
  <c r="AF5" i="2"/>
  <c r="AF7" i="2"/>
  <c r="AF8" i="2"/>
  <c r="AF9" i="2"/>
  <c r="AF10" i="2"/>
  <c r="AF11" i="2"/>
  <c r="AF13" i="2"/>
  <c r="AF14" i="2"/>
  <c r="AF15" i="2"/>
  <c r="AF17" i="2"/>
  <c r="AF18" i="2"/>
  <c r="AF19" i="2"/>
  <c r="AF20" i="2"/>
  <c r="AF21" i="2"/>
  <c r="AF23" i="2"/>
  <c r="AF24" i="2"/>
  <c r="AF26" i="2"/>
  <c r="AF27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6" i="2"/>
  <c r="S54" i="2"/>
  <c r="S56" i="2"/>
  <c r="R54" i="2"/>
  <c r="R56" i="2"/>
  <c r="Q54" i="2"/>
  <c r="Q56" i="2"/>
  <c r="N54" i="2"/>
  <c r="N56" i="2"/>
  <c r="M54" i="2"/>
  <c r="M56" i="2"/>
  <c r="L54" i="2"/>
  <c r="L56" i="2"/>
  <c r="AJ5" i="2"/>
  <c r="AJ7" i="2"/>
  <c r="AJ8" i="2"/>
  <c r="AJ9" i="2"/>
  <c r="AJ10" i="2"/>
  <c r="AJ11" i="2"/>
  <c r="AJ13" i="2"/>
  <c r="AJ14" i="2"/>
  <c r="AJ15" i="2"/>
  <c r="AJ17" i="2"/>
  <c r="AJ18" i="2"/>
  <c r="AJ19" i="2"/>
  <c r="AJ20" i="2"/>
  <c r="AJ21" i="2"/>
  <c r="AJ23" i="2"/>
  <c r="AJ24" i="2"/>
  <c r="AJ26" i="2"/>
  <c r="AJ27" i="2"/>
  <c r="AJ29" i="2"/>
  <c r="AJ30" i="2"/>
  <c r="AJ31" i="2"/>
  <c r="AJ32" i="2"/>
  <c r="AJ33" i="2"/>
  <c r="AJ34" i="2"/>
  <c r="AJ35" i="2"/>
  <c r="AJ36" i="2"/>
  <c r="AJ37" i="2"/>
  <c r="AJ38" i="2"/>
  <c r="AJ39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D5" i="2"/>
  <c r="AD7" i="2"/>
  <c r="AD8" i="2"/>
  <c r="AD9" i="2"/>
  <c r="AD10" i="2"/>
  <c r="AD11" i="2"/>
  <c r="AD13" i="2"/>
  <c r="AD14" i="2"/>
  <c r="AD15" i="2"/>
  <c r="AD16" i="2"/>
  <c r="AD17" i="2"/>
  <c r="AD18" i="2"/>
  <c r="AD19" i="2"/>
  <c r="AD20" i="2"/>
  <c r="AD21" i="2"/>
  <c r="AD23" i="2"/>
  <c r="AD24" i="2"/>
  <c r="AD26" i="2"/>
  <c r="AD27" i="2"/>
  <c r="AD29" i="2"/>
  <c r="AD30" i="2"/>
  <c r="AD31" i="2"/>
  <c r="AD32" i="2"/>
  <c r="AD33" i="2"/>
  <c r="AD36" i="2"/>
  <c r="AD37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C54" i="2"/>
  <c r="AB54" i="2"/>
  <c r="AA54" i="2"/>
  <c r="Y5" i="2"/>
  <c r="Y7" i="2"/>
  <c r="Y8" i="2"/>
  <c r="Y9" i="2"/>
  <c r="Y10" i="2"/>
  <c r="Y11" i="2"/>
  <c r="Y13" i="2"/>
  <c r="Y14" i="2"/>
  <c r="Y15" i="2"/>
  <c r="Y17" i="2"/>
  <c r="Y18" i="2"/>
  <c r="Y19" i="2"/>
  <c r="Y20" i="2"/>
  <c r="Y21" i="2"/>
  <c r="Y23" i="2"/>
  <c r="Y24" i="2"/>
  <c r="Y26" i="2"/>
  <c r="Y27" i="2"/>
  <c r="Y29" i="2"/>
  <c r="Y30" i="2"/>
  <c r="Y31" i="2"/>
  <c r="Y32" i="2"/>
  <c r="Y33" i="2"/>
  <c r="Y36" i="2"/>
  <c r="Y37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X54" i="2"/>
  <c r="W54" i="2"/>
  <c r="V54" i="2"/>
  <c r="H5" i="2"/>
  <c r="J5" i="2"/>
  <c r="H7" i="2"/>
  <c r="J7" i="2"/>
  <c r="H8" i="2"/>
  <c r="J8" i="2"/>
  <c r="H9" i="2"/>
  <c r="J9" i="2"/>
  <c r="H10" i="2"/>
  <c r="J10" i="2"/>
  <c r="H11" i="2"/>
  <c r="J11" i="2"/>
  <c r="H13" i="2"/>
  <c r="J13" i="2"/>
  <c r="H14" i="2"/>
  <c r="J14" i="2"/>
  <c r="H15" i="2"/>
  <c r="J15" i="2"/>
  <c r="H17" i="2"/>
  <c r="J17" i="2"/>
  <c r="H18" i="2"/>
  <c r="J18" i="2"/>
  <c r="H19" i="2"/>
  <c r="J19" i="2"/>
  <c r="H20" i="2"/>
  <c r="J20" i="2"/>
  <c r="H21" i="2"/>
  <c r="J21" i="2"/>
  <c r="H23" i="2"/>
  <c r="J23" i="2"/>
  <c r="H24" i="2"/>
  <c r="J24" i="2"/>
  <c r="H26" i="2"/>
  <c r="J26" i="2"/>
  <c r="H27" i="2"/>
  <c r="J27" i="2"/>
  <c r="H29" i="2"/>
  <c r="J29" i="2"/>
  <c r="H30" i="2"/>
  <c r="J30" i="2"/>
  <c r="H31" i="2"/>
  <c r="J31" i="2"/>
  <c r="H32" i="2"/>
  <c r="J32" i="2"/>
  <c r="H33" i="2"/>
  <c r="J33" i="2"/>
  <c r="H34" i="2"/>
  <c r="J34" i="2"/>
  <c r="H35" i="2"/>
  <c r="J35" i="2"/>
  <c r="H36" i="2"/>
  <c r="J36" i="2"/>
  <c r="H37" i="2"/>
  <c r="J37" i="2"/>
  <c r="H38" i="2"/>
  <c r="J38" i="2"/>
  <c r="H39" i="2"/>
  <c r="J39" i="2"/>
  <c r="H41" i="2"/>
  <c r="J41" i="2"/>
  <c r="H42" i="2"/>
  <c r="J42" i="2"/>
  <c r="H43" i="2"/>
  <c r="J43" i="2"/>
  <c r="H44" i="2"/>
  <c r="J44" i="2"/>
  <c r="H45" i="2"/>
  <c r="J45" i="2"/>
  <c r="H46" i="2"/>
  <c r="J46" i="2"/>
  <c r="H47" i="2"/>
  <c r="J47" i="2"/>
  <c r="H48" i="2"/>
  <c r="J48" i="2"/>
  <c r="H49" i="2"/>
  <c r="J49" i="2"/>
  <c r="H50" i="2"/>
  <c r="J50" i="2"/>
  <c r="H51" i="2"/>
  <c r="J51" i="2"/>
  <c r="H52" i="2"/>
  <c r="J52" i="2"/>
  <c r="H53" i="2"/>
  <c r="J53" i="2"/>
  <c r="J54" i="2"/>
  <c r="H54" i="2"/>
  <c r="D54" i="2"/>
  <c r="I54" i="2"/>
  <c r="F54" i="2"/>
  <c r="E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4" i="2"/>
  <c r="I23" i="2"/>
  <c r="I21" i="2"/>
  <c r="I19" i="2"/>
  <c r="I18" i="2"/>
  <c r="I17" i="2"/>
  <c r="I15" i="2"/>
  <c r="I14" i="2"/>
  <c r="I13" i="2"/>
  <c r="I11" i="2"/>
  <c r="I10" i="2"/>
  <c r="I9" i="2"/>
  <c r="I8" i="2"/>
  <c r="I7" i="2"/>
  <c r="I5" i="2"/>
  <c r="C9" i="1"/>
</calcChain>
</file>

<file path=xl/sharedStrings.xml><?xml version="1.0" encoding="utf-8"?>
<sst xmlns="http://schemas.openxmlformats.org/spreadsheetml/2006/main" count="332" uniqueCount="141">
  <si>
    <t>Bank of the West BNP Paribas</t>
  </si>
  <si>
    <t>South Central Regional Transit District</t>
  </si>
  <si>
    <t>Money Market</t>
  </si>
  <si>
    <t>(Interest rate at .07% per year)</t>
  </si>
  <si>
    <t>Total Cash On Hand at 12/31/2021</t>
  </si>
  <si>
    <t>2nd Quarter - FY 2022</t>
  </si>
  <si>
    <t>Reporting for 1st Quarter FY2021-2022</t>
  </si>
  <si>
    <t>FY22 Quarterly Totals</t>
  </si>
  <si>
    <t>Descriptions</t>
  </si>
  <si>
    <t>Approved Budget</t>
  </si>
  <si>
    <t>Amendment #1</t>
  </si>
  <si>
    <t>Amendment #2</t>
  </si>
  <si>
    <t>Revised Budget</t>
  </si>
  <si>
    <t>Year to Date Expenditure</t>
  </si>
  <si>
    <t>% YTD</t>
  </si>
  <si>
    <t>Remaining Budgeted Expenses</t>
  </si>
  <si>
    <t>Jul-21</t>
  </si>
  <si>
    <t>Aug-21</t>
  </si>
  <si>
    <t>Sep-21</t>
  </si>
  <si>
    <t>First Quarter Total</t>
  </si>
  <si>
    <t>Oct-21</t>
  </si>
  <si>
    <t>Nov-21</t>
  </si>
  <si>
    <t>Dec-21</t>
  </si>
  <si>
    <t>Second Quarter Total</t>
  </si>
  <si>
    <t>Jan-22</t>
  </si>
  <si>
    <t>Feb-22</t>
  </si>
  <si>
    <t>Mar-22</t>
  </si>
  <si>
    <t>Third Quarter Total</t>
  </si>
  <si>
    <t>Apr-22</t>
  </si>
  <si>
    <t>May-22</t>
  </si>
  <si>
    <t>Jun-22</t>
  </si>
  <si>
    <t>Fourth Quarter Total</t>
  </si>
  <si>
    <t>YTD Expenditure</t>
  </si>
  <si>
    <t>Aplos</t>
  </si>
  <si>
    <t>DIFF</t>
  </si>
  <si>
    <t>Personnel Services</t>
  </si>
  <si>
    <t>Salaries</t>
  </si>
  <si>
    <t>Employee Benefits</t>
  </si>
  <si>
    <t>FICA/Medicare Tax</t>
  </si>
  <si>
    <t>Unemployment Tax</t>
  </si>
  <si>
    <t>Workers Comp Insurance</t>
  </si>
  <si>
    <t>Health Insurance and Life</t>
  </si>
  <si>
    <t>Retirement - PERA &amp; PERA Smart Save</t>
  </si>
  <si>
    <t>Travel &amp; Maintenance</t>
  </si>
  <si>
    <t>Travel - Reimbursement</t>
  </si>
  <si>
    <t xml:space="preserve">Fuel - WEX </t>
  </si>
  <si>
    <t>Maintenance on Vehicles</t>
  </si>
  <si>
    <t>Supplies</t>
  </si>
  <si>
    <t>Equipment &amp; Uniforms</t>
  </si>
  <si>
    <t>Shop Supplies &amp; Shop Tools</t>
  </si>
  <si>
    <t>Safety Equipment / Training</t>
  </si>
  <si>
    <t>Fareboxes</t>
  </si>
  <si>
    <t>Supplies (Covid19)</t>
  </si>
  <si>
    <t>Insurances</t>
  </si>
  <si>
    <t>D&amp;O Insurance</t>
  </si>
  <si>
    <t xml:space="preserve">NM Municipal League - NMSIF </t>
  </si>
  <si>
    <t>Projects</t>
  </si>
  <si>
    <t>SBLB, LLC - On-Call Project Consulting</t>
  </si>
  <si>
    <t>Bus Stop Refurbishing Project</t>
  </si>
  <si>
    <t>Contractual Services</t>
  </si>
  <si>
    <t>FineLine Graphics/Del Valle/Mason</t>
  </si>
  <si>
    <t>Legal Fees</t>
  </si>
  <si>
    <t>Professional Fees &amp; Svcs/Audit</t>
  </si>
  <si>
    <t>Alarm Monitoring / Airtime</t>
  </si>
  <si>
    <t>Services ADP fees/Janitorial/RC Creations/Misc</t>
  </si>
  <si>
    <t>Zia Therapy</t>
  </si>
  <si>
    <t>Vanpool Tech Support</t>
  </si>
  <si>
    <t>IT Services / Web Services</t>
  </si>
  <si>
    <t>Drug &amp; Alcohol Testing / Physicals / Background Checks</t>
  </si>
  <si>
    <t>Printer</t>
  </si>
  <si>
    <t>Signs</t>
  </si>
  <si>
    <t>Operating Costs</t>
  </si>
  <si>
    <t>Advertisements/Promotional</t>
  </si>
  <si>
    <t>Bus Facility Lease</t>
  </si>
  <si>
    <t>Cell phone / T-Mobile / Internet</t>
  </si>
  <si>
    <t>Conf/Seminars/Quickbooks/MS</t>
  </si>
  <si>
    <t>Office Equipment / COVID-19 Exp</t>
  </si>
  <si>
    <t>Postage</t>
  </si>
  <si>
    <t>Radios</t>
  </si>
  <si>
    <t>Facilty Maintenance</t>
  </si>
  <si>
    <t>Subscription/Dues/Chamber/Bank Fees</t>
  </si>
  <si>
    <t>Taxes &amp; Licenses</t>
  </si>
  <si>
    <t>Interest Expense</t>
  </si>
  <si>
    <t>Utilities</t>
  </si>
  <si>
    <t>Commercial Loan Payments</t>
  </si>
  <si>
    <t>Total Expenses</t>
  </si>
  <si>
    <t>FY 21-22 Revenue</t>
  </si>
  <si>
    <t> </t>
  </si>
  <si>
    <t>Operating  Revenue</t>
  </si>
  <si>
    <t xml:space="preserve"> Budgeted Revenue</t>
  </si>
  <si>
    <t xml:space="preserve"> Y-T-D Received PMT </t>
  </si>
  <si>
    <t>Invoiced But Not Received</t>
  </si>
  <si>
    <t>% Y_T_D</t>
  </si>
  <si>
    <t xml:space="preserve"> Balance  </t>
  </si>
  <si>
    <t>Membership Dues</t>
  </si>
  <si>
    <t>CITY OF LAS CRUCES</t>
  </si>
  <si>
    <t>DONA ANA COUNTY</t>
  </si>
  <si>
    <t>SUNLAND PARK</t>
  </si>
  <si>
    <t>TOWN OF MESILLA</t>
  </si>
  <si>
    <t>VILLAGE OF HATCH</t>
  </si>
  <si>
    <t>CITY OF ANTHONY</t>
  </si>
  <si>
    <t xml:space="preserve">CITY OF ELEPHANT BUTTE </t>
  </si>
  <si>
    <t>VILLAGE OF WILLIAMSBURG</t>
  </si>
  <si>
    <t>TOTAL Membership Dues</t>
  </si>
  <si>
    <t xml:space="preserve">Grants &amp; MOU </t>
  </si>
  <si>
    <t>Dona Ana County GRT</t>
  </si>
  <si>
    <t>P2200998</t>
  </si>
  <si>
    <t>M</t>
  </si>
  <si>
    <t>City of Las Cruces</t>
  </si>
  <si>
    <t>NMDOT 5311</t>
  </si>
  <si>
    <t>MO1733-CARES</t>
  </si>
  <si>
    <t>*</t>
  </si>
  <si>
    <t>NMDOT 5311*</t>
  </si>
  <si>
    <t>MO1791-CARES</t>
  </si>
  <si>
    <t>TXDOT 5307 Funds</t>
  </si>
  <si>
    <t>TOTAL Grants &amp; MOU</t>
  </si>
  <si>
    <t>Other Source Revenue</t>
  </si>
  <si>
    <t>NM Legislature Pilot Van Program</t>
  </si>
  <si>
    <t>Bus Fares/Ticket Sales</t>
  </si>
  <si>
    <t>El Calvario United Methodist Church</t>
  </si>
  <si>
    <t>Advertising Revenue</t>
  </si>
  <si>
    <t>DMV Fees</t>
  </si>
  <si>
    <t xml:space="preserve"> TOTAL REVENUES </t>
  </si>
  <si>
    <t>Capital Appropriations</t>
  </si>
  <si>
    <t>NM DOT 5339 Facility</t>
  </si>
  <si>
    <t>MO1664 Rural 5339</t>
  </si>
  <si>
    <t>NM DOT 5339 (Bus)</t>
  </si>
  <si>
    <t>NM DOT 5339 Non-Revenue Vehicle</t>
  </si>
  <si>
    <t>NMDOT 5311 (Bus) FY21 Carryover</t>
  </si>
  <si>
    <t>NMDOT 5311 (Bus) FY21 Matching Funds</t>
  </si>
  <si>
    <t>Commercial Loan</t>
  </si>
  <si>
    <t>Other Revenue</t>
  </si>
  <si>
    <t>Gillig Warranty</t>
  </si>
  <si>
    <t>Repay Duplicate Payment - NMDOT</t>
  </si>
  <si>
    <t>Commercial Loan Proceeds</t>
  </si>
  <si>
    <t>Interest Earned</t>
  </si>
  <si>
    <t>Bank of the West Rewards</t>
  </si>
  <si>
    <t>TOTAL Other Revenue</t>
  </si>
  <si>
    <t>Capital Outlay</t>
  </si>
  <si>
    <t>Operating Account</t>
  </si>
  <si>
    <t>Services-PR Processing fees/Janitorial/RC Creations/Misc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</si>
</sst>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mmmm\ d\,\ yyyy"/>
    <numFmt numFmtId="166" formatCode="[$-409]mmm\-yy;@"/>
    <numFmt numFmtId="167" formatCode="0.0%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Cambria"/>
      <family val="1"/>
    </font>
    <font>
      <b/>
      <i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44" fontId="0" fillId="0" borderId="0" xfId="2" applyFont="1"/>
    <xf numFmtId="0" fontId="5" fillId="0" borderId="1" xfId="0" applyFont="1" applyBorder="1"/>
    <xf numFmtId="44" fontId="6" fillId="0" borderId="2" xfId="2" applyFont="1" applyBorder="1" applyAlignment="1">
      <alignment horizontal="center"/>
    </xf>
    <xf numFmtId="9" fontId="5" fillId="0" borderId="3" xfId="1" applyNumberFormat="1" applyFont="1" applyBorder="1" applyAlignment="1">
      <alignment horizontal="center"/>
    </xf>
    <xf numFmtId="17" fontId="7" fillId="0" borderId="4" xfId="0" applyNumberFormat="1" applyFont="1" applyBorder="1" applyAlignment="1">
      <alignment horizontal="left"/>
    </xf>
    <xf numFmtId="44" fontId="5" fillId="0" borderId="5" xfId="2" applyFont="1" applyBorder="1" applyAlignment="1">
      <alignment horizontal="center"/>
    </xf>
    <xf numFmtId="14" fontId="5" fillId="0" borderId="6" xfId="1" applyNumberFormat="1" applyFont="1" applyBorder="1" applyAlignment="1">
      <alignment horizontal="center"/>
    </xf>
    <xf numFmtId="0" fontId="8" fillId="0" borderId="0" xfId="0" applyFont="1"/>
    <xf numFmtId="44" fontId="8" fillId="0" borderId="0" xfId="2" applyFont="1" applyBorder="1"/>
    <xf numFmtId="44" fontId="8" fillId="0" borderId="7" xfId="2" applyFont="1" applyBorder="1"/>
    <xf numFmtId="44" fontId="8" fillId="0" borderId="0" xfId="2" applyFont="1"/>
    <xf numFmtId="0" fontId="10" fillId="0" borderId="0" xfId="0" applyFont="1"/>
    <xf numFmtId="44" fontId="10" fillId="0" borderId="8" xfId="0" applyNumberFormat="1" applyFont="1" applyBorder="1"/>
    <xf numFmtId="0" fontId="6" fillId="0" borderId="0" xfId="0" applyFont="1" applyAlignment="1">
      <alignment horizontal="center"/>
    </xf>
    <xf numFmtId="0" fontId="11" fillId="0" borderId="9" xfId="0" applyFont="1" applyBorder="1"/>
    <xf numFmtId="0" fontId="12" fillId="0" borderId="10" xfId="0" applyFont="1" applyBorder="1"/>
    <xf numFmtId="164" fontId="11" fillId="2" borderId="0" xfId="0" applyNumberFormat="1" applyFont="1" applyFill="1" applyAlignment="1">
      <alignment horizontal="center"/>
    </xf>
    <xf numFmtId="43" fontId="6" fillId="0" borderId="0" xfId="1" applyFont="1"/>
    <xf numFmtId="43" fontId="6" fillId="0" borderId="0" xfId="1" applyFont="1" applyBorder="1"/>
    <xf numFmtId="0" fontId="6" fillId="0" borderId="0" xfId="0" applyFont="1"/>
    <xf numFmtId="43" fontId="5" fillId="0" borderId="0" xfId="1" applyFont="1"/>
    <xf numFmtId="0" fontId="6" fillId="0" borderId="0" xfId="0" applyFont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5" fontId="14" fillId="0" borderId="9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 wrapText="1"/>
    </xf>
    <xf numFmtId="14" fontId="14" fillId="3" borderId="9" xfId="0" applyNumberFormat="1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14" fontId="14" fillId="5" borderId="9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3" fontId="15" fillId="0" borderId="9" xfId="1" quotePrefix="1" applyFont="1" applyFill="1" applyBorder="1" applyAlignment="1">
      <alignment horizontal="center" vertical="center" wrapText="1"/>
    </xf>
    <xf numFmtId="43" fontId="15" fillId="0" borderId="0" xfId="1" quotePrefix="1" applyFont="1" applyFill="1" applyBorder="1" applyAlignment="1">
      <alignment horizontal="center" vertical="center" wrapText="1"/>
    </xf>
    <xf numFmtId="166" fontId="15" fillId="0" borderId="0" xfId="0" quotePrefix="1" applyNumberFormat="1" applyFont="1" applyAlignment="1">
      <alignment horizontal="center" vertical="center" wrapText="1"/>
    </xf>
    <xf numFmtId="16" fontId="15" fillId="0" borderId="9" xfId="1" quotePrefix="1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2" fillId="0" borderId="9" xfId="0" applyFont="1" applyBorder="1"/>
    <xf numFmtId="43" fontId="17" fillId="0" borderId="16" xfId="0" applyNumberFormat="1" applyFont="1" applyBorder="1" applyAlignment="1">
      <alignment wrapText="1"/>
    </xf>
    <xf numFmtId="43" fontId="18" fillId="0" borderId="16" xfId="0" applyNumberFormat="1" applyFont="1" applyBorder="1" applyAlignment="1">
      <alignment wrapText="1"/>
    </xf>
    <xf numFmtId="10" fontId="19" fillId="0" borderId="9" xfId="3" applyNumberFormat="1" applyFont="1" applyFill="1" applyBorder="1"/>
    <xf numFmtId="43" fontId="18" fillId="0" borderId="0" xfId="0" applyNumberFormat="1" applyFont="1" applyAlignment="1">
      <alignment wrapText="1"/>
    </xf>
    <xf numFmtId="43" fontId="4" fillId="0" borderId="17" xfId="1" applyFont="1" applyFill="1" applyBorder="1"/>
    <xf numFmtId="43" fontId="4" fillId="0" borderId="18" xfId="1" applyFont="1" applyFill="1" applyBorder="1"/>
    <xf numFmtId="43" fontId="4" fillId="0" borderId="0" xfId="1" applyFont="1" applyFill="1" applyBorder="1"/>
    <xf numFmtId="0" fontId="4" fillId="0" borderId="0" xfId="0" applyFont="1"/>
    <xf numFmtId="43" fontId="4" fillId="0" borderId="19" xfId="1" applyFont="1" applyFill="1" applyBorder="1"/>
    <xf numFmtId="43" fontId="4" fillId="0" borderId="20" xfId="1" applyFont="1" applyFill="1" applyBorder="1"/>
    <xf numFmtId="43" fontId="14" fillId="0" borderId="9" xfId="1" applyFont="1" applyFill="1" applyBorder="1"/>
    <xf numFmtId="43" fontId="1" fillId="0" borderId="9" xfId="1" applyFill="1" applyBorder="1"/>
    <xf numFmtId="43" fontId="19" fillId="0" borderId="9" xfId="1" applyFont="1" applyFill="1" applyBorder="1"/>
    <xf numFmtId="43" fontId="19" fillId="0" borderId="0" xfId="1" applyFont="1" applyFill="1" applyBorder="1"/>
    <xf numFmtId="43" fontId="4" fillId="0" borderId="21" xfId="1" applyFont="1" applyFill="1" applyBorder="1"/>
    <xf numFmtId="43" fontId="0" fillId="0" borderId="22" xfId="1" applyFont="1" applyFill="1" applyBorder="1"/>
    <xf numFmtId="43" fontId="0" fillId="0" borderId="0" xfId="1" applyFont="1" applyFill="1" applyBorder="1"/>
    <xf numFmtId="44" fontId="20" fillId="0" borderId="0" xfId="0" applyNumberFormat="1" applyFont="1"/>
    <xf numFmtId="0" fontId="16" fillId="0" borderId="9" xfId="0" applyFont="1" applyBorder="1" applyAlignment="1">
      <alignment horizontal="center"/>
    </xf>
    <xf numFmtId="43" fontId="21" fillId="0" borderId="9" xfId="0" applyNumberFormat="1" applyFont="1" applyBorder="1"/>
    <xf numFmtId="43" fontId="19" fillId="0" borderId="9" xfId="0" applyNumberFormat="1" applyFont="1" applyBorder="1"/>
    <xf numFmtId="43" fontId="19" fillId="0" borderId="0" xfId="0" applyNumberFormat="1" applyFont="1"/>
    <xf numFmtId="43" fontId="4" fillId="0" borderId="22" xfId="1" applyFont="1" applyFill="1" applyBorder="1"/>
    <xf numFmtId="43" fontId="4" fillId="0" borderId="21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4" fontId="4" fillId="0" borderId="0" xfId="2" applyFont="1" applyFill="1" applyBorder="1" applyAlignment="1">
      <alignment horizontal="right"/>
    </xf>
    <xf numFmtId="44" fontId="4" fillId="0" borderId="0" xfId="0" applyNumberFormat="1" applyFont="1"/>
    <xf numFmtId="43" fontId="12" fillId="0" borderId="9" xfId="1" applyFont="1" applyFill="1" applyBorder="1"/>
    <xf numFmtId="43" fontId="12" fillId="0" borderId="9" xfId="0" applyNumberFormat="1" applyFont="1" applyBorder="1"/>
    <xf numFmtId="43" fontId="4" fillId="0" borderId="0" xfId="0" applyNumberFormat="1" applyFont="1"/>
    <xf numFmtId="43" fontId="4" fillId="0" borderId="23" xfId="1" applyFont="1" applyFill="1" applyBorder="1"/>
    <xf numFmtId="43" fontId="4" fillId="0" borderId="24" xfId="1" applyFont="1" applyFill="1" applyBorder="1"/>
    <xf numFmtId="43" fontId="1" fillId="0" borderId="21" xfId="1" applyFill="1" applyBorder="1"/>
    <xf numFmtId="43" fontId="1" fillId="0" borderId="0" xfId="1" applyFill="1" applyBorder="1"/>
    <xf numFmtId="43" fontId="1" fillId="0" borderId="23" xfId="1" applyFill="1" applyBorder="1"/>
    <xf numFmtId="43" fontId="1" fillId="0" borderId="24" xfId="1" applyFill="1" applyBorder="1"/>
    <xf numFmtId="10" fontId="19" fillId="6" borderId="9" xfId="3" applyNumberFormat="1" applyFont="1" applyFill="1" applyBorder="1"/>
    <xf numFmtId="43" fontId="21" fillId="0" borderId="9" xfId="1" applyFont="1" applyFill="1" applyBorder="1"/>
    <xf numFmtId="0" fontId="12" fillId="0" borderId="9" xfId="0" applyFont="1" applyBorder="1" applyAlignment="1">
      <alignment horizontal="left"/>
    </xf>
    <xf numFmtId="43" fontId="1" fillId="0" borderId="22" xfId="1" applyFill="1" applyBorder="1"/>
    <xf numFmtId="43" fontId="4" fillId="0" borderId="9" xfId="1" applyFont="1" applyFill="1" applyBorder="1"/>
    <xf numFmtId="44" fontId="1" fillId="0" borderId="0" xfId="2" applyFill="1" applyBorder="1"/>
    <xf numFmtId="43" fontId="6" fillId="0" borderId="0" xfId="1" applyFont="1" applyFill="1"/>
    <xf numFmtId="0" fontId="14" fillId="0" borderId="9" xfId="0" applyFont="1" applyBorder="1" applyAlignment="1">
      <alignment horizontal="center"/>
    </xf>
    <xf numFmtId="44" fontId="14" fillId="0" borderId="9" xfId="2" applyFont="1" applyBorder="1"/>
    <xf numFmtId="43" fontId="20" fillId="0" borderId="9" xfId="1" applyFont="1" applyBorder="1"/>
    <xf numFmtId="10" fontId="20" fillId="0" borderId="9" xfId="3" applyNumberFormat="1" applyFont="1" applyBorder="1"/>
    <xf numFmtId="43" fontId="20" fillId="0" borderId="0" xfId="1" applyFont="1" applyBorder="1"/>
    <xf numFmtId="43" fontId="20" fillId="0" borderId="25" xfId="1" applyFont="1" applyFill="1" applyBorder="1"/>
    <xf numFmtId="43" fontId="20" fillId="0" borderId="26" xfId="1" applyFont="1" applyFill="1" applyBorder="1"/>
    <xf numFmtId="43" fontId="20" fillId="0" borderId="27" xfId="1" applyFont="1" applyFill="1" applyBorder="1"/>
    <xf numFmtId="43" fontId="20" fillId="0" borderId="28" xfId="1" applyFont="1" applyFill="1" applyBorder="1"/>
    <xf numFmtId="43" fontId="20" fillId="0" borderId="0" xfId="1" applyFont="1" applyFill="1" applyBorder="1"/>
    <xf numFmtId="43" fontId="20" fillId="0" borderId="29" xfId="1" applyFont="1" applyFill="1" applyBorder="1"/>
    <xf numFmtId="0" fontId="12" fillId="0" borderId="0" xfId="0" applyFont="1" applyAlignment="1">
      <alignment horizontal="center"/>
    </xf>
    <xf numFmtId="0" fontId="12" fillId="0" borderId="0" xfId="0" applyFont="1"/>
    <xf numFmtId="167" fontId="12" fillId="0" borderId="0" xfId="0" applyNumberFormat="1" applyFont="1"/>
    <xf numFmtId="8" fontId="12" fillId="0" borderId="0" xfId="0" applyNumberFormat="1" applyFont="1"/>
    <xf numFmtId="43" fontId="4" fillId="0" borderId="30" xfId="1" applyFont="1" applyBorder="1"/>
    <xf numFmtId="43" fontId="4" fillId="0" borderId="0" xfId="1" applyFont="1" applyBorder="1"/>
    <xf numFmtId="43" fontId="4" fillId="0" borderId="30" xfId="1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22" fillId="0" borderId="0" xfId="0" applyFont="1"/>
    <xf numFmtId="167" fontId="5" fillId="0" borderId="0" xfId="0" applyNumberFormat="1" applyFont="1"/>
    <xf numFmtId="8" fontId="5" fillId="0" borderId="0" xfId="0" applyNumberFormat="1" applyFont="1"/>
    <xf numFmtId="43" fontId="22" fillId="0" borderId="0" xfId="1" applyFont="1"/>
    <xf numFmtId="43" fontId="22" fillId="0" borderId="0" xfId="1" applyFont="1" applyBorder="1"/>
    <xf numFmtId="0" fontId="23" fillId="0" borderId="0" xfId="0" applyFont="1"/>
    <xf numFmtId="167" fontId="6" fillId="0" borderId="0" xfId="0" applyNumberFormat="1" applyFont="1"/>
    <xf numFmtId="8" fontId="6" fillId="0" borderId="0" xfId="0" applyNumberFormat="1" applyFont="1"/>
    <xf numFmtId="43" fontId="23" fillId="0" borderId="0" xfId="1" applyFont="1"/>
    <xf numFmtId="43" fontId="23" fillId="0" borderId="0" xfId="1" applyFont="1" applyBorder="1"/>
    <xf numFmtId="43" fontId="23" fillId="0" borderId="0" xfId="0" applyNumberFormat="1" applyFont="1"/>
    <xf numFmtId="0" fontId="7" fillId="0" borderId="31" xfId="0" applyFont="1" applyBorder="1"/>
    <xf numFmtId="0" fontId="7" fillId="0" borderId="32" xfId="0" applyFont="1" applyBorder="1"/>
    <xf numFmtId="44" fontId="6" fillId="0" borderId="32" xfId="2" applyFont="1" applyFill="1" applyBorder="1" applyAlignment="1"/>
    <xf numFmtId="44" fontId="6" fillId="0" borderId="0" xfId="2" applyFont="1" applyFill="1" applyBorder="1" applyAlignment="1"/>
    <xf numFmtId="44" fontId="7" fillId="0" borderId="32" xfId="2" applyFont="1" applyFill="1" applyBorder="1" applyAlignment="1"/>
    <xf numFmtId="0" fontId="6" fillId="0" borderId="32" xfId="0" applyFont="1" applyBorder="1"/>
    <xf numFmtId="44" fontId="6" fillId="0" borderId="33" xfId="2" applyFont="1" applyFill="1" applyBorder="1" applyAlignment="1"/>
    <xf numFmtId="0" fontId="13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44" fontId="14" fillId="0" borderId="35" xfId="2" applyFont="1" applyFill="1" applyBorder="1" applyAlignment="1">
      <alignment horizontal="center" wrapText="1"/>
    </xf>
    <xf numFmtId="44" fontId="14" fillId="4" borderId="35" xfId="2" applyFont="1" applyFill="1" applyBorder="1" applyAlignment="1">
      <alignment horizontal="center" wrapText="1"/>
    </xf>
    <xf numFmtId="44" fontId="14" fillId="5" borderId="35" xfId="2" applyFont="1" applyFill="1" applyBorder="1" applyAlignment="1">
      <alignment horizontal="center" wrapText="1"/>
    </xf>
    <xf numFmtId="166" fontId="13" fillId="0" borderId="0" xfId="0" applyNumberFormat="1" applyFont="1" applyAlignment="1">
      <alignment horizontal="center" wrapText="1"/>
    </xf>
    <xf numFmtId="166" fontId="13" fillId="7" borderId="35" xfId="2" applyNumberFormat="1" applyFont="1" applyFill="1" applyBorder="1" applyAlignment="1">
      <alignment horizontal="center" wrapText="1"/>
    </xf>
    <xf numFmtId="166" fontId="13" fillId="7" borderId="36" xfId="2" applyNumberFormat="1" applyFont="1" applyFill="1" applyBorder="1" applyAlignment="1">
      <alignment horizontal="center" wrapText="1"/>
    </xf>
    <xf numFmtId="44" fontId="5" fillId="0" borderId="16" xfId="2" applyFont="1" applyFill="1" applyBorder="1" applyAlignment="1">
      <alignment horizontal="center" wrapText="1"/>
    </xf>
    <xf numFmtId="0" fontId="25" fillId="0" borderId="35" xfId="0" applyFont="1" applyBorder="1" applyAlignment="1">
      <alignment horizontal="center"/>
    </xf>
    <xf numFmtId="44" fontId="5" fillId="0" borderId="36" xfId="2" applyFont="1" applyFill="1" applyBorder="1" applyAlignment="1">
      <alignment horizontal="center" wrapText="1"/>
    </xf>
    <xf numFmtId="0" fontId="26" fillId="8" borderId="13" xfId="0" applyFont="1" applyFill="1" applyBorder="1"/>
    <xf numFmtId="0" fontId="26" fillId="8" borderId="14" xfId="0" applyFont="1" applyFill="1" applyBorder="1"/>
    <xf numFmtId="0" fontId="26" fillId="8" borderId="2" xfId="0" applyFont="1" applyFill="1" applyBorder="1"/>
    <xf numFmtId="0" fontId="26" fillId="8" borderId="3" xfId="0" applyFont="1" applyFill="1" applyBorder="1"/>
    <xf numFmtId="0" fontId="12" fillId="9" borderId="17" xfId="0" applyFont="1" applyFill="1" applyBorder="1"/>
    <xf numFmtId="0" fontId="12" fillId="9" borderId="37" xfId="0" applyFont="1" applyFill="1" applyBorder="1"/>
    <xf numFmtId="44" fontId="6" fillId="9" borderId="19" xfId="2" applyFont="1" applyFill="1" applyBorder="1" applyAlignment="1"/>
    <xf numFmtId="44" fontId="6" fillId="7" borderId="38" xfId="2" applyFont="1" applyFill="1" applyBorder="1" applyAlignment="1"/>
    <xf numFmtId="44" fontId="6" fillId="7" borderId="39" xfId="2" applyFont="1" applyFill="1" applyBorder="1" applyAlignment="1"/>
    <xf numFmtId="44" fontId="6" fillId="9" borderId="31" xfId="2" applyFont="1" applyFill="1" applyBorder="1" applyAlignment="1"/>
    <xf numFmtId="44" fontId="6" fillId="0" borderId="40" xfId="2" applyFont="1" applyFill="1" applyBorder="1" applyAlignment="1"/>
    <xf numFmtId="9" fontId="6" fillId="0" borderId="41" xfId="3" applyFont="1" applyFill="1" applyBorder="1" applyAlignment="1"/>
    <xf numFmtId="44" fontId="5" fillId="0" borderId="42" xfId="2" applyFont="1" applyFill="1" applyBorder="1" applyAlignment="1"/>
    <xf numFmtId="44" fontId="6" fillId="7" borderId="37" xfId="2" applyFont="1" applyFill="1" applyBorder="1" applyAlignment="1"/>
    <xf numFmtId="44" fontId="6" fillId="7" borderId="43" xfId="2" applyFont="1" applyFill="1" applyBorder="1" applyAlignment="1"/>
    <xf numFmtId="44" fontId="6" fillId="9" borderId="23" xfId="2" applyFont="1" applyFill="1" applyBorder="1" applyAlignment="1"/>
    <xf numFmtId="44" fontId="6" fillId="0" borderId="37" xfId="2" applyFont="1" applyFill="1" applyBorder="1" applyAlignment="1"/>
    <xf numFmtId="44" fontId="6" fillId="10" borderId="19" xfId="2" applyFont="1" applyFill="1" applyBorder="1" applyAlignment="1"/>
    <xf numFmtId="44" fontId="6" fillId="10" borderId="44" xfId="2" applyFont="1" applyFill="1" applyBorder="1" applyAlignment="1"/>
    <xf numFmtId="44" fontId="6" fillId="0" borderId="17" xfId="2" applyFont="1" applyFill="1" applyBorder="1" applyAlignment="1"/>
    <xf numFmtId="0" fontId="5" fillId="0" borderId="45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44" fontId="5" fillId="0" borderId="47" xfId="2" applyFont="1" applyFill="1" applyBorder="1" applyAlignment="1"/>
    <xf numFmtId="8" fontId="5" fillId="0" borderId="14" xfId="0" applyNumberFormat="1" applyFont="1" applyBorder="1"/>
    <xf numFmtId="44" fontId="5" fillId="0" borderId="48" xfId="2" applyFont="1" applyFill="1" applyBorder="1" applyAlignment="1"/>
    <xf numFmtId="44" fontId="5" fillId="0" borderId="16" xfId="2" applyFont="1" applyFill="1" applyBorder="1" applyAlignment="1"/>
    <xf numFmtId="44" fontId="5" fillId="0" borderId="45" xfId="2" applyFont="1" applyFill="1" applyBorder="1" applyAlignment="1"/>
    <xf numFmtId="9" fontId="5" fillId="0" borderId="47" xfId="3" applyFont="1" applyFill="1" applyBorder="1" applyAlignment="1"/>
    <xf numFmtId="0" fontId="26" fillId="8" borderId="49" xfId="0" applyFont="1" applyFill="1" applyBorder="1"/>
    <xf numFmtId="0" fontId="26" fillId="8" borderId="36" xfId="0" applyFont="1" applyFill="1" applyBorder="1"/>
    <xf numFmtId="44" fontId="5" fillId="0" borderId="9" xfId="2" applyFont="1" applyFill="1" applyBorder="1" applyAlignment="1"/>
    <xf numFmtId="0" fontId="26" fillId="8" borderId="50" xfId="0" applyFont="1" applyFill="1" applyBorder="1"/>
    <xf numFmtId="44" fontId="6" fillId="7" borderId="40" xfId="2" applyFont="1" applyFill="1" applyBorder="1" applyAlignment="1"/>
    <xf numFmtId="44" fontId="6" fillId="7" borderId="17" xfId="2" applyFont="1" applyFill="1" applyBorder="1" applyAlignment="1"/>
    <xf numFmtId="44" fontId="6" fillId="0" borderId="51" xfId="2" applyFont="1" applyFill="1" applyBorder="1" applyAlignment="1"/>
    <xf numFmtId="0" fontId="5" fillId="0" borderId="45" xfId="0" applyFont="1" applyBorder="1"/>
    <xf numFmtId="0" fontId="5" fillId="0" borderId="46" xfId="0" applyFont="1" applyBorder="1"/>
    <xf numFmtId="44" fontId="5" fillId="0" borderId="46" xfId="2" applyFont="1" applyFill="1" applyBorder="1" applyAlignment="1"/>
    <xf numFmtId="44" fontId="5" fillId="0" borderId="15" xfId="2" applyFont="1" applyFill="1" applyBorder="1" applyAlignment="1"/>
    <xf numFmtId="44" fontId="5" fillId="0" borderId="0" xfId="2" applyFont="1" applyFill="1" applyBorder="1" applyAlignment="1"/>
    <xf numFmtId="0" fontId="26" fillId="8" borderId="15" xfId="0" applyFont="1" applyFill="1" applyBorder="1"/>
    <xf numFmtId="9" fontId="5" fillId="0" borderId="52" xfId="3" applyFont="1" applyFill="1" applyBorder="1" applyAlignment="1"/>
    <xf numFmtId="44" fontId="5" fillId="0" borderId="28" xfId="2" applyFont="1" applyFill="1" applyBorder="1" applyAlignment="1"/>
    <xf numFmtId="44" fontId="6" fillId="9" borderId="0" xfId="2" applyFont="1" applyFill="1" applyBorder="1" applyAlignment="1"/>
    <xf numFmtId="10" fontId="27" fillId="0" borderId="9" xfId="3" applyNumberFormat="1" applyFont="1" applyFill="1" applyBorder="1"/>
    <xf numFmtId="44" fontId="14" fillId="11" borderId="35" xfId="2" applyFont="1" applyFill="1" applyBorder="1" applyAlignment="1">
      <alignment horizontal="center" wrapText="1"/>
    </xf>
    <xf numFmtId="9" fontId="22" fillId="0" borderId="0" xfId="3" applyFont="1" applyBorder="1" applyAlignment="1">
      <alignment horizontal="center"/>
    </xf>
    <xf numFmtId="9" fontId="22" fillId="0" borderId="0" xfId="3" applyFont="1" applyAlignment="1">
      <alignment horizontal="center"/>
    </xf>
    <xf numFmtId="9" fontId="2" fillId="0" borderId="0" xfId="3" applyFont="1" applyAlignment="1">
      <alignment horizontal="center"/>
    </xf>
    <xf numFmtId="43" fontId="6" fillId="0" borderId="0" xfId="0" applyNumberFormat="1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164" fontId="11" fillId="2" borderId="12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Balances-Oct21"/>
      <sheetName val="Bank Balances-Nov21"/>
      <sheetName val="Bank Balances-Dec21"/>
      <sheetName val=" Expenditures-2nd Qtr"/>
      <sheetName val="Amend#2-Exp"/>
      <sheetName val="Amend#2-Rev"/>
      <sheetName val="Payroll"/>
      <sheetName val="Payroll2"/>
      <sheetName val="Total Revenue"/>
      <sheetName val="Grants &amp; Projects"/>
      <sheetName val="Cap Exp &amp; Revs"/>
      <sheetName val="Revenue-Year over Year"/>
      <sheetName val="Oct 2021 Detail"/>
      <sheetName val="Nov 2021 Detail"/>
      <sheetName val="Dec 2021 Detail"/>
      <sheetName val="Repairs &amp; Maintenance"/>
      <sheetName val="Taxes, Ins, PERA"/>
      <sheetName val="Accounts Payable-Outstanding"/>
    </sheetNames>
    <sheetDataSet>
      <sheetData sheetId="0"/>
      <sheetData sheetId="1"/>
      <sheetData sheetId="2"/>
      <sheetData sheetId="3"/>
      <sheetData sheetId="4"/>
      <sheetData sheetId="5"/>
      <sheetData sheetId="6">
        <row r="83">
          <cell r="C83">
            <v>7862.49</v>
          </cell>
          <cell r="D83">
            <v>7862.49</v>
          </cell>
          <cell r="E83">
            <v>7862.49</v>
          </cell>
          <cell r="F83">
            <v>7862.49</v>
          </cell>
          <cell r="G83">
            <v>7862.49</v>
          </cell>
          <cell r="H83">
            <v>7862.49</v>
          </cell>
        </row>
        <row r="84">
          <cell r="C84">
            <v>4620</v>
          </cell>
          <cell r="D84">
            <v>4488</v>
          </cell>
          <cell r="E84">
            <v>4488</v>
          </cell>
          <cell r="F84">
            <v>6588</v>
          </cell>
          <cell r="G84">
            <v>4640</v>
          </cell>
          <cell r="H84">
            <v>4876</v>
          </cell>
        </row>
        <row r="85">
          <cell r="C85">
            <v>6608</v>
          </cell>
          <cell r="D85">
            <v>4400</v>
          </cell>
          <cell r="E85">
            <v>4400</v>
          </cell>
          <cell r="F85">
            <v>4200</v>
          </cell>
          <cell r="G85">
            <v>4400</v>
          </cell>
          <cell r="H85">
            <v>4600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C88">
            <v>1438.8820000000001</v>
          </cell>
          <cell r="D88">
            <v>1130.9010000000001</v>
          </cell>
          <cell r="E88">
            <v>1328.5610000000001</v>
          </cell>
          <cell r="F88">
            <v>1374.4080000000001</v>
          </cell>
          <cell r="G88">
            <v>1254.52</v>
          </cell>
          <cell r="H88">
            <v>1298.6200000000001</v>
          </cell>
        </row>
        <row r="89">
          <cell r="C89">
            <v>8.2400128000000006</v>
          </cell>
          <cell r="D89">
            <v>0</v>
          </cell>
          <cell r="E89">
            <v>4.5999999999999996</v>
          </cell>
          <cell r="F89">
            <v>0</v>
          </cell>
          <cell r="G89">
            <v>0</v>
          </cell>
          <cell r="H89">
            <v>4.5999999999999996</v>
          </cell>
        </row>
        <row r="91">
          <cell r="C91">
            <v>4250.3999999999996</v>
          </cell>
          <cell r="D91">
            <v>4065.6000000000004</v>
          </cell>
          <cell r="E91">
            <v>4065.5999999999995</v>
          </cell>
          <cell r="F91">
            <v>3880.8</v>
          </cell>
          <cell r="G91">
            <v>4065.6</v>
          </cell>
          <cell r="H91">
            <v>4250.3999999999996</v>
          </cell>
        </row>
        <row r="92">
          <cell r="C92">
            <v>4443.6000000000004</v>
          </cell>
          <cell r="D92">
            <v>4328.16</v>
          </cell>
          <cell r="E92">
            <v>4736.4089999999997</v>
          </cell>
          <cell r="F92">
            <v>4313.4509999999991</v>
          </cell>
          <cell r="G92">
            <v>2985.59</v>
          </cell>
          <cell r="H92">
            <v>3864</v>
          </cell>
        </row>
        <row r="93">
          <cell r="C93">
            <v>6219.8700000000008</v>
          </cell>
          <cell r="D93">
            <v>5754.11</v>
          </cell>
          <cell r="E93">
            <v>8729.4969999999994</v>
          </cell>
          <cell r="F93">
            <v>8637.143</v>
          </cell>
          <cell r="G93">
            <v>8943.869999999999</v>
          </cell>
          <cell r="H93">
            <v>9219.1699999999983</v>
          </cell>
        </row>
        <row r="94">
          <cell r="C94">
            <v>6870.01</v>
          </cell>
          <cell r="D94">
            <v>6620.2999999999993</v>
          </cell>
          <cell r="E94">
            <v>9690.5320000000011</v>
          </cell>
          <cell r="F94">
            <v>8170.8180000000002</v>
          </cell>
          <cell r="G94">
            <v>4661.6699999999992</v>
          </cell>
          <cell r="H94">
            <v>7139.5499999999993</v>
          </cell>
        </row>
        <row r="95">
          <cell r="C95">
            <v>35276.009999999995</v>
          </cell>
          <cell r="D95">
            <v>34145.420000000006</v>
          </cell>
          <cell r="E95">
            <v>34881.759999999995</v>
          </cell>
          <cell r="F95">
            <v>31860.120000000003</v>
          </cell>
          <cell r="G95">
            <v>39678.930000000008</v>
          </cell>
          <cell r="H95">
            <v>38425.78</v>
          </cell>
        </row>
        <row r="96">
          <cell r="H96">
            <v>2702.58</v>
          </cell>
        </row>
        <row r="97">
          <cell r="C97">
            <v>3945.3166000000001</v>
          </cell>
          <cell r="D97">
            <v>3359.1112699999999</v>
          </cell>
          <cell r="E97">
            <v>4694.6522650000006</v>
          </cell>
          <cell r="F97">
            <v>4310.4079999999994</v>
          </cell>
          <cell r="G97">
            <v>4432.4217099999996</v>
          </cell>
          <cell r="H97">
            <v>4879.0593550000003</v>
          </cell>
        </row>
        <row r="98">
          <cell r="C98">
            <v>167.52176354400007</v>
          </cell>
          <cell r="D98">
            <v>167.22500000000002</v>
          </cell>
          <cell r="E98">
            <v>227.11</v>
          </cell>
          <cell r="F98">
            <v>138.56</v>
          </cell>
          <cell r="G98">
            <v>165.892662</v>
          </cell>
          <cell r="H98">
            <v>192.80733799999999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C102">
            <v>0</v>
          </cell>
          <cell r="D102">
            <v>0</v>
          </cell>
          <cell r="E102">
            <v>1000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>
            <v>0</v>
          </cell>
          <cell r="D103">
            <v>0</v>
          </cell>
          <cell r="E103">
            <v>100</v>
          </cell>
          <cell r="F103">
            <v>0</v>
          </cell>
          <cell r="G103">
            <v>0</v>
          </cell>
          <cell r="H103">
            <v>0</v>
          </cell>
        </row>
        <row r="110">
          <cell r="C110">
            <v>12179.75</v>
          </cell>
          <cell r="E110">
            <v>12043.25</v>
          </cell>
          <cell r="F110">
            <v>12658.199999999999</v>
          </cell>
          <cell r="G110">
            <v>11143.55</v>
          </cell>
          <cell r="H110">
            <v>9551.85</v>
          </cell>
        </row>
        <row r="112">
          <cell r="C112">
            <v>5492.9568099999997</v>
          </cell>
          <cell r="D112">
            <v>4541.47127</v>
          </cell>
          <cell r="E112">
            <v>5860.9772650000014</v>
          </cell>
          <cell r="F112">
            <v>5418.7730000000001</v>
          </cell>
          <cell r="G112">
            <v>5820.34771</v>
          </cell>
          <cell r="H112">
            <v>6108.3733549999997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5EC6-0504-E84D-AF8B-F5556BA97775}">
  <dimension ref="A1:D12"/>
  <sheetViews>
    <sheetView zoomScale="130" zoomScaleNormal="130" workbookViewId="0">
      <selection activeCell="D9" sqref="D9"/>
    </sheetView>
  </sheetViews>
  <sheetFormatPr defaultColWidth="11" defaultRowHeight="15.75" x14ac:dyDescent="0.25"/>
  <cols>
    <col min="1" max="1" width="33.625" bestFit="1" customWidth="1"/>
    <col min="2" max="2" width="15.625" bestFit="1" customWidth="1"/>
    <col min="3" max="3" width="14" bestFit="1" customWidth="1"/>
  </cols>
  <sheetData>
    <row r="1" spans="1:4" ht="20.25" x14ac:dyDescent="0.3">
      <c r="A1" s="182" t="s">
        <v>0</v>
      </c>
      <c r="B1" s="182"/>
      <c r="C1" s="182"/>
    </row>
    <row r="2" spans="1:4" ht="16.5" thickBot="1" x14ac:dyDescent="0.3">
      <c r="B2" s="1"/>
    </row>
    <row r="3" spans="1:4" x14ac:dyDescent="0.25">
      <c r="A3" s="2" t="s">
        <v>1</v>
      </c>
      <c r="B3" s="3"/>
      <c r="C3" s="4"/>
    </row>
    <row r="4" spans="1:4" ht="21" thickBot="1" x14ac:dyDescent="0.35">
      <c r="A4" s="5">
        <v>44561</v>
      </c>
      <c r="B4" s="6"/>
      <c r="C4" s="7"/>
    </row>
    <row r="5" spans="1:4" x14ac:dyDescent="0.25">
      <c r="B5" s="1"/>
    </row>
    <row r="6" spans="1:4" x14ac:dyDescent="0.25">
      <c r="A6" s="8" t="s">
        <v>139</v>
      </c>
      <c r="B6" s="9">
        <v>43272.3</v>
      </c>
      <c r="C6" s="8"/>
    </row>
    <row r="7" spans="1:4" x14ac:dyDescent="0.25">
      <c r="A7" s="8" t="s">
        <v>2</v>
      </c>
      <c r="B7" s="10">
        <v>40982.660000000003</v>
      </c>
      <c r="C7" s="183" t="s">
        <v>3</v>
      </c>
      <c r="D7" s="183"/>
    </row>
    <row r="8" spans="1:4" x14ac:dyDescent="0.25">
      <c r="A8" s="8"/>
      <c r="B8" s="11"/>
      <c r="C8" s="8"/>
    </row>
    <row r="9" spans="1:4" ht="16.5" thickBot="1" x14ac:dyDescent="0.3">
      <c r="A9" s="12" t="s">
        <v>4</v>
      </c>
      <c r="B9" s="11"/>
      <c r="C9" s="13">
        <f>SUM(B6:B7)</f>
        <v>84254.96</v>
      </c>
    </row>
    <row r="10" spans="1:4" ht="16.5" thickTop="1" x14ac:dyDescent="0.25"/>
    <row r="11" spans="1:4" x14ac:dyDescent="0.25">
      <c r="A11" s="8"/>
    </row>
    <row r="12" spans="1:4" x14ac:dyDescent="0.25">
      <c r="A12" s="8"/>
    </row>
  </sheetData>
  <mergeCells count="2">
    <mergeCell ref="A1:C1"/>
    <mergeCell ref="C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C53AB-03B3-2445-B539-B005AAFFAFD3}">
  <dimension ref="A1:AL61"/>
  <sheetViews>
    <sheetView zoomScale="120" zoomScaleNormal="120" workbookViewId="0">
      <pane xSplit="2" ySplit="3" topLeftCell="C23" activePane="bottomRight" state="frozen"/>
      <selection pane="topRight" activeCell="C1" sqref="C1"/>
      <selection pane="bottomLeft" activeCell="A4" sqref="A4"/>
      <selection pane="bottomRight" activeCell="A31" sqref="A31:XFD31"/>
    </sheetView>
  </sheetViews>
  <sheetFormatPr defaultColWidth="9" defaultRowHeight="15" x14ac:dyDescent="0.25"/>
  <cols>
    <col min="1" max="1" width="3.375" style="14" customWidth="1"/>
    <col min="2" max="2" width="43.125" style="20" bestFit="1" customWidth="1"/>
    <col min="3" max="3" width="0.875" style="20" customWidth="1"/>
    <col min="4" max="5" width="14" style="20" customWidth="1"/>
    <col min="6" max="6" width="14" style="20" hidden="1" customWidth="1"/>
    <col min="7" max="7" width="14" style="20" customWidth="1"/>
    <col min="8" max="8" width="12.625" style="108" customWidth="1"/>
    <col min="9" max="9" width="8.125" style="109" customWidth="1"/>
    <col min="10" max="10" width="12.625" style="110" customWidth="1"/>
    <col min="11" max="11" width="1.875" style="110" customWidth="1"/>
    <col min="12" max="12" width="11.5" style="111" customWidth="1"/>
    <col min="13" max="14" width="11.125" style="111" customWidth="1"/>
    <col min="15" max="15" width="11.125" style="112" customWidth="1"/>
    <col min="16" max="16" width="1.875" style="112" customWidth="1"/>
    <col min="17" max="20" width="11.125" style="108" customWidth="1"/>
    <col min="21" max="21" width="1.875" style="108" hidden="1" customWidth="1"/>
    <col min="22" max="22" width="11.125" style="108" hidden="1" customWidth="1"/>
    <col min="23" max="23" width="12.125" style="20" hidden="1" customWidth="1"/>
    <col min="24" max="24" width="11.5" style="20" hidden="1" customWidth="1"/>
    <col min="25" max="25" width="11.125" style="20" hidden="1" customWidth="1"/>
    <col min="26" max="26" width="1.875" style="20" hidden="1" customWidth="1"/>
    <col min="27" max="29" width="11.5" style="20" hidden="1" customWidth="1"/>
    <col min="30" max="30" width="10.125" style="20" hidden="1" customWidth="1"/>
    <col min="31" max="31" width="1.875" style="20" customWidth="1"/>
    <col min="32" max="32" width="14.5" style="21" bestFit="1" customWidth="1"/>
    <col min="33" max="33" width="1.875" style="20" customWidth="1"/>
    <col min="34" max="34" width="12.125" style="20" hidden="1" customWidth="1"/>
    <col min="35" max="35" width="1.875" style="20" hidden="1" customWidth="1"/>
    <col min="36" max="36" width="11.125" style="20" hidden="1" customWidth="1"/>
    <col min="37" max="37" width="9" style="20"/>
    <col min="38" max="38" width="10.5" style="20" bestFit="1" customWidth="1"/>
    <col min="39" max="16384" width="9" style="20"/>
  </cols>
  <sheetData>
    <row r="1" spans="1:36" ht="17.25" thickTop="1" thickBot="1" x14ac:dyDescent="0.3">
      <c r="B1" s="15"/>
      <c r="C1" s="16"/>
      <c r="D1" s="184"/>
      <c r="E1" s="184"/>
      <c r="F1" s="184"/>
      <c r="G1" s="184"/>
      <c r="H1" s="184"/>
      <c r="I1" s="184"/>
      <c r="J1" s="185"/>
      <c r="K1" s="17"/>
      <c r="L1" s="18"/>
      <c r="M1" s="18"/>
      <c r="N1" s="18"/>
      <c r="O1" s="19"/>
      <c r="P1" s="19"/>
      <c r="Q1" s="20"/>
      <c r="R1" s="20"/>
      <c r="S1" s="20"/>
      <c r="T1" s="20"/>
      <c r="U1" s="20"/>
      <c r="V1" s="20"/>
    </row>
    <row r="2" spans="1:36" s="26" customFormat="1" ht="41.45" customHeight="1" thickTop="1" thickBot="1" x14ac:dyDescent="0.3">
      <c r="A2" s="22"/>
      <c r="B2" s="23" t="s">
        <v>5</v>
      </c>
      <c r="C2" s="24"/>
      <c r="D2" s="186" t="s">
        <v>6</v>
      </c>
      <c r="E2" s="186"/>
      <c r="F2" s="186"/>
      <c r="G2" s="186"/>
      <c r="H2" s="186"/>
      <c r="I2" s="186"/>
      <c r="J2" s="187"/>
      <c r="K2" s="25"/>
      <c r="L2" s="188" t="s">
        <v>7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90"/>
    </row>
    <row r="3" spans="1:36" s="26" customFormat="1" ht="39.75" thickTop="1" thickBot="1" x14ac:dyDescent="0.3">
      <c r="A3" s="22"/>
      <c r="B3" s="27" t="s">
        <v>8</v>
      </c>
      <c r="C3" s="28"/>
      <c r="D3" s="29" t="s">
        <v>9</v>
      </c>
      <c r="E3" s="30" t="s">
        <v>10</v>
      </c>
      <c r="F3" s="31" t="s">
        <v>11</v>
      </c>
      <c r="G3" s="32" t="s">
        <v>12</v>
      </c>
      <c r="H3" s="29" t="s">
        <v>13</v>
      </c>
      <c r="I3" s="29" t="s">
        <v>14</v>
      </c>
      <c r="J3" s="29" t="s">
        <v>15</v>
      </c>
      <c r="K3" s="33"/>
      <c r="L3" s="34" t="s">
        <v>16</v>
      </c>
      <c r="M3" s="34" t="s">
        <v>17</v>
      </c>
      <c r="N3" s="34" t="s">
        <v>18</v>
      </c>
      <c r="O3" s="34" t="s">
        <v>19</v>
      </c>
      <c r="P3" s="35"/>
      <c r="Q3" s="34" t="s">
        <v>20</v>
      </c>
      <c r="R3" s="34" t="s">
        <v>21</v>
      </c>
      <c r="S3" s="34" t="s">
        <v>22</v>
      </c>
      <c r="T3" s="34" t="s">
        <v>23</v>
      </c>
      <c r="U3" s="36"/>
      <c r="V3" s="34" t="s">
        <v>24</v>
      </c>
      <c r="W3" s="34" t="s">
        <v>25</v>
      </c>
      <c r="X3" s="34" t="s">
        <v>26</v>
      </c>
      <c r="Y3" s="34" t="s">
        <v>27</v>
      </c>
      <c r="Z3" s="36"/>
      <c r="AA3" s="34" t="s">
        <v>28</v>
      </c>
      <c r="AB3" s="37" t="s">
        <v>29</v>
      </c>
      <c r="AC3" s="34" t="s">
        <v>30</v>
      </c>
      <c r="AD3" s="34" t="s">
        <v>31</v>
      </c>
      <c r="AE3" s="36"/>
      <c r="AF3" s="34" t="s">
        <v>32</v>
      </c>
      <c r="AH3" s="34" t="s">
        <v>33</v>
      </c>
      <c r="AJ3" s="34" t="s">
        <v>34</v>
      </c>
    </row>
    <row r="4" spans="1:36" ht="17.100000000000001" customHeight="1" thickBot="1" x14ac:dyDescent="0.3">
      <c r="B4" s="38" t="s">
        <v>35</v>
      </c>
      <c r="C4" s="39"/>
      <c r="D4" s="40"/>
      <c r="E4" s="40"/>
      <c r="F4" s="40"/>
      <c r="G4" s="40"/>
      <c r="H4" s="41"/>
      <c r="I4" s="42"/>
      <c r="J4" s="41"/>
      <c r="K4" s="43"/>
      <c r="L4" s="44"/>
      <c r="M4" s="44"/>
      <c r="N4" s="44"/>
      <c r="O4" s="45"/>
      <c r="P4" s="46"/>
      <c r="Q4" s="44"/>
      <c r="R4" s="44"/>
      <c r="S4" s="44"/>
      <c r="T4" s="45"/>
      <c r="U4" s="47"/>
      <c r="V4" s="44"/>
      <c r="W4" s="44"/>
      <c r="X4" s="44"/>
      <c r="Y4" s="45"/>
      <c r="AA4" s="44"/>
      <c r="AB4" s="48"/>
      <c r="AC4" s="49"/>
      <c r="AD4" s="45"/>
      <c r="AF4" s="45"/>
      <c r="AH4" s="45"/>
      <c r="AJ4" s="45"/>
    </row>
    <row r="5" spans="1:36" ht="16.5" thickBot="1" x14ac:dyDescent="0.3">
      <c r="B5" s="39" t="s">
        <v>36</v>
      </c>
      <c r="C5" s="50"/>
      <c r="D5" s="51">
        <v>959112.64</v>
      </c>
      <c r="E5" s="51"/>
      <c r="F5" s="51"/>
      <c r="G5" s="51">
        <f>+D5+E5+F5</f>
        <v>959112.64</v>
      </c>
      <c r="H5" s="52">
        <f>+AF5</f>
        <v>463459.69</v>
      </c>
      <c r="I5" s="42">
        <f>H5/D5</f>
        <v>0.48321716414872812</v>
      </c>
      <c r="J5" s="52">
        <f>+D5-H5</f>
        <v>495652.95</v>
      </c>
      <c r="K5" s="53"/>
      <c r="L5" s="54">
        <f>+[1]Payroll!C83+[1]Payroll!C84+[1]Payroll!C85+[1]Payroll!C86+[1]Payroll!C91+[1]Payroll!C92+[1]Payroll!C93+[1]Payroll!C94+[1]Payroll!C95+[1]Payroll!C87+[1]Payroll!C101+[1]Payroll!C102+[1]Payroll!C103</f>
        <v>76150.38</v>
      </c>
      <c r="M5" s="54">
        <f>+[1]Payroll!D83+[1]Payroll!D84+[1]Payroll!D85+[1]Payroll!D86+[1]Payroll!D91+[1]Payroll!D92+[1]Payroll!D93+[1]Payroll!D94+[1]Payroll!D95+[1]Payroll!D87+[1]Payroll!D101+[1]Payroll!D102+[1]Payroll!D103</f>
        <v>71664.08</v>
      </c>
      <c r="N5" s="54">
        <f>+[1]Payroll!E83+[1]Payroll!E84+[1]Payroll!E85+[1]Payroll!E86+[1]Payroll!E91+[1]Payroll!E92+[1]Payroll!E93+[1]Payroll!E94+[1]Payroll!E95+[1]Payroll!E87+[1]Payroll!E101+[1]Payroll!E102+[1]Payroll!E103</f>
        <v>79954.288</v>
      </c>
      <c r="O5" s="55">
        <f>SUM(L5:N5)</f>
        <v>227768.74800000002</v>
      </c>
      <c r="P5" s="56"/>
      <c r="Q5" s="54">
        <f>+[1]Payroll!F83+[1]Payroll!F84+[1]Payroll!F85+[1]Payroll!F86+[1]Payroll!F91+[1]Payroll!F92+[1]Payroll!F93+[1]Payroll!F94+[1]Payroll!F95+[1]Payroll!F87+[1]Payroll!F101+[1]Payroll!F102+[1]Payroll!F103</f>
        <v>75512.821999999986</v>
      </c>
      <c r="R5" s="54">
        <f>+[1]Payroll!G83+[1]Payroll!G84+[1]Payroll!G85+[1]Payroll!G86+[1]Payroll!G91+[1]Payroll!G92+[1]Payroll!G93+[1]Payroll!G94+[1]Payroll!G95+[1]Payroll!G87+[1]Payroll!G101+[1]Payroll!G102+[1]Payroll!G103</f>
        <v>77238.149999999994</v>
      </c>
      <c r="S5" s="54">
        <f>+[1]Payroll!H83+[1]Payroll!H84+[1]Payroll!H85+[1]Payroll!H91+[1]Payroll!H92+[1]Payroll!H93+[1]Payroll!H94+[1]Payroll!H95+[1]Payroll!H96+[1]Payroll!H101+[1]Payroll!H102+[1]Payroll!H103</f>
        <v>82939.97</v>
      </c>
      <c r="T5" s="55">
        <f>SUM(Q5:S5)</f>
        <v>235690.94199999998</v>
      </c>
      <c r="U5" s="57"/>
      <c r="V5" s="54"/>
      <c r="W5" s="54"/>
      <c r="X5" s="54"/>
      <c r="Y5" s="55">
        <f>SUM(V5:X5)</f>
        <v>0</v>
      </c>
      <c r="AA5" s="54"/>
      <c r="AB5" s="54"/>
      <c r="AC5" s="54"/>
      <c r="AD5" s="55">
        <f>SUM(AA5:AC5)</f>
        <v>0</v>
      </c>
      <c r="AF5" s="55">
        <f>+O5+T5</f>
        <v>463459.69</v>
      </c>
      <c r="AH5" s="55">
        <f>71242+232039.63</f>
        <v>303281.63</v>
      </c>
      <c r="AJ5" s="55">
        <f>+AF5-AH5</f>
        <v>160178.06</v>
      </c>
    </row>
    <row r="6" spans="1:36" ht="15.75" thickBot="1" x14ac:dyDescent="0.3">
      <c r="B6" s="58" t="s">
        <v>37</v>
      </c>
      <c r="C6" s="39"/>
      <c r="D6" s="59"/>
      <c r="E6" s="59"/>
      <c r="F6" s="59"/>
      <c r="G6" s="59"/>
      <c r="H6" s="60"/>
      <c r="I6" s="42"/>
      <c r="J6" s="60"/>
      <c r="K6" s="61"/>
      <c r="L6" s="54"/>
      <c r="M6" s="54"/>
      <c r="N6" s="54"/>
      <c r="O6" s="62"/>
      <c r="P6" s="46"/>
      <c r="Q6" s="54"/>
      <c r="R6" s="54"/>
      <c r="S6" s="54"/>
      <c r="T6" s="62"/>
      <c r="U6" s="47"/>
      <c r="V6" s="54"/>
      <c r="W6" s="54"/>
      <c r="X6" s="54"/>
      <c r="Y6" s="62"/>
      <c r="AA6" s="54"/>
      <c r="AB6" s="54"/>
      <c r="AC6" s="54"/>
      <c r="AD6" s="62"/>
      <c r="AF6" s="62"/>
      <c r="AH6" s="62"/>
      <c r="AJ6" s="62"/>
    </row>
    <row r="7" spans="1:36" ht="16.5" thickBot="1" x14ac:dyDescent="0.3">
      <c r="B7" s="39" t="s">
        <v>38</v>
      </c>
      <c r="C7" s="50"/>
      <c r="D7" s="51">
        <v>78666.97</v>
      </c>
      <c r="E7" s="51"/>
      <c r="F7" s="51"/>
      <c r="G7" s="51">
        <f t="shared" ref="G7:G11" si="0">+D7+E7+F7</f>
        <v>78666.97</v>
      </c>
      <c r="H7" s="52">
        <f>+AF7</f>
        <v>33446.861199999999</v>
      </c>
      <c r="I7" s="42">
        <f>H7/D7</f>
        <v>0.42517032497883162</v>
      </c>
      <c r="J7" s="52">
        <f>+D7-H7</f>
        <v>45220.108800000002</v>
      </c>
      <c r="K7" s="53"/>
      <c r="L7" s="63">
        <f>+[1]Payroll!C88+[1]Payroll!C97</f>
        <v>5384.1985999999997</v>
      </c>
      <c r="M7" s="63">
        <f>+[1]Payroll!D88+[1]Payroll!D97</f>
        <v>4490.0122700000002</v>
      </c>
      <c r="N7" s="63">
        <f>+[1]Payroll!E88+[1]Payroll!E97</f>
        <v>6023.2132650000003</v>
      </c>
      <c r="O7" s="55">
        <f>SUM(L7:N7)</f>
        <v>15897.424134999999</v>
      </c>
      <c r="P7" s="64"/>
      <c r="Q7" s="63">
        <f>+[1]Payroll!F88+[1]Payroll!F97</f>
        <v>5684.8159999999998</v>
      </c>
      <c r="R7" s="63">
        <f>+[1]Payroll!G88+[1]Payroll!G97</f>
        <v>5686.9417099999991</v>
      </c>
      <c r="S7" s="63">
        <f>+[1]Payroll!H88+[1]Payroll!H97</f>
        <v>6177.6793550000002</v>
      </c>
      <c r="T7" s="55">
        <f>SUM(Q7:S7)</f>
        <v>17549.437064999998</v>
      </c>
      <c r="U7" s="65"/>
      <c r="V7" s="63"/>
      <c r="W7" s="63"/>
      <c r="X7" s="63"/>
      <c r="Y7" s="55">
        <f>SUM(V7:X7)</f>
        <v>0</v>
      </c>
      <c r="AA7" s="63"/>
      <c r="AB7" s="63"/>
      <c r="AC7" s="63"/>
      <c r="AD7" s="55">
        <f>SUM(AA7:AC7)</f>
        <v>0</v>
      </c>
      <c r="AF7" s="55">
        <f>+O7+T7</f>
        <v>33446.861199999999</v>
      </c>
      <c r="AH7" s="55">
        <f>5272.77+16309.47</f>
        <v>21582.239999999998</v>
      </c>
      <c r="AJ7" s="55">
        <f>+AF7-AH7</f>
        <v>11864.621200000001</v>
      </c>
    </row>
    <row r="8" spans="1:36" ht="16.5" thickBot="1" x14ac:dyDescent="0.3">
      <c r="B8" s="39" t="s">
        <v>39</v>
      </c>
      <c r="C8" s="50"/>
      <c r="D8" s="51">
        <v>14348.21</v>
      </c>
      <c r="E8" s="51"/>
      <c r="F8" s="51"/>
      <c r="G8" s="51">
        <f t="shared" si="0"/>
        <v>14348.21</v>
      </c>
      <c r="H8" s="52">
        <f>+AF8</f>
        <v>1076.5567763440001</v>
      </c>
      <c r="I8" s="42">
        <f>H8/D8</f>
        <v>7.5030737377275641E-2</v>
      </c>
      <c r="J8" s="52">
        <f>+D8-H8</f>
        <v>13271.653223656</v>
      </c>
      <c r="K8" s="53"/>
      <c r="L8" s="54">
        <f>+[1]Payroll!C89+[1]Payroll!C98</f>
        <v>175.76177634400005</v>
      </c>
      <c r="M8" s="54">
        <f>+[1]Payroll!D89+[1]Payroll!D98</f>
        <v>167.22500000000002</v>
      </c>
      <c r="N8" s="54">
        <f>+[1]Payroll!E89+[1]Payroll!E98</f>
        <v>231.71</v>
      </c>
      <c r="O8" s="55">
        <f>SUM(L8:N8)</f>
        <v>574.69677634400011</v>
      </c>
      <c r="P8" s="46"/>
      <c r="Q8" s="54">
        <f>+[1]Payroll!F89+[1]Payroll!F98</f>
        <v>138.56</v>
      </c>
      <c r="R8" s="54">
        <f>+[1]Payroll!G89+[1]Payroll!G98</f>
        <v>165.892662</v>
      </c>
      <c r="S8" s="54">
        <f>+[1]Payroll!H89+[1]Payroll!H98</f>
        <v>197.40733799999998</v>
      </c>
      <c r="T8" s="55">
        <f>SUM(Q8:S8)</f>
        <v>501.86</v>
      </c>
      <c r="U8" s="66"/>
      <c r="V8" s="54"/>
      <c r="W8" s="54"/>
      <c r="X8" s="54"/>
      <c r="Y8" s="55">
        <f>SUM(V8:X8)</f>
        <v>0</v>
      </c>
      <c r="AA8" s="54"/>
      <c r="AB8" s="54"/>
      <c r="AC8" s="54"/>
      <c r="AD8" s="55">
        <f>SUM(AA8:AC8)</f>
        <v>0</v>
      </c>
      <c r="AF8" s="55">
        <f>+O8+T8</f>
        <v>1076.5567763440001</v>
      </c>
      <c r="AH8" s="55">
        <f>12.85+700.43</f>
        <v>713.28</v>
      </c>
      <c r="AJ8" s="55">
        <f>+AF8-AH8</f>
        <v>363.27677634400015</v>
      </c>
    </row>
    <row r="9" spans="1:36" ht="16.5" thickBot="1" x14ac:dyDescent="0.3">
      <c r="B9" s="39" t="s">
        <v>40</v>
      </c>
      <c r="C9" s="67"/>
      <c r="D9" s="51">
        <v>37000</v>
      </c>
      <c r="E9" s="51"/>
      <c r="F9" s="51"/>
      <c r="G9" s="51">
        <f t="shared" si="0"/>
        <v>37000</v>
      </c>
      <c r="H9" s="52">
        <f>+AF9</f>
        <v>15099</v>
      </c>
      <c r="I9" s="42">
        <f>H9/D9</f>
        <v>0.4080810810810811</v>
      </c>
      <c r="J9" s="52">
        <f>+D9-H9</f>
        <v>21901</v>
      </c>
      <c r="K9" s="53"/>
      <c r="L9" s="54"/>
      <c r="M9" s="54">
        <f>15099</f>
        <v>15099</v>
      </c>
      <c r="N9" s="54"/>
      <c r="O9" s="55">
        <f>SUM(L9:N9)</f>
        <v>15099</v>
      </c>
      <c r="P9" s="46"/>
      <c r="Q9" s="54"/>
      <c r="R9" s="54"/>
      <c r="S9" s="54"/>
      <c r="T9" s="55">
        <f>SUM(Q9:S9)</f>
        <v>0</v>
      </c>
      <c r="U9" s="66"/>
      <c r="V9" s="54"/>
      <c r="W9" s="54"/>
      <c r="X9" s="54"/>
      <c r="Y9" s="55">
        <f>SUM(V9:X9)</f>
        <v>0</v>
      </c>
      <c r="AA9" s="54"/>
      <c r="AB9" s="54"/>
      <c r="AC9" s="54"/>
      <c r="AD9" s="55">
        <f>SUM(AA9:AC9)</f>
        <v>0</v>
      </c>
      <c r="AF9" s="55">
        <f>+O9+T9</f>
        <v>15099</v>
      </c>
      <c r="AH9" s="55">
        <v>15099</v>
      </c>
      <c r="AJ9" s="55">
        <f>+AF9-AH9</f>
        <v>0</v>
      </c>
    </row>
    <row r="10" spans="1:36" ht="16.5" thickBot="1" x14ac:dyDescent="0.3">
      <c r="B10" s="39" t="s">
        <v>41</v>
      </c>
      <c r="C10" s="67"/>
      <c r="D10" s="51">
        <v>184292.64</v>
      </c>
      <c r="E10" s="51"/>
      <c r="F10" s="51"/>
      <c r="G10" s="51">
        <f t="shared" si="0"/>
        <v>184292.64</v>
      </c>
      <c r="H10" s="52">
        <f>+AF10</f>
        <v>69024.22</v>
      </c>
      <c r="I10" s="42">
        <f>H10/D10</f>
        <v>0.37453595542393875</v>
      </c>
      <c r="J10" s="52">
        <f>+D10-H10</f>
        <v>115268.42000000001</v>
      </c>
      <c r="K10" s="53"/>
      <c r="L10" s="54">
        <f>+[1]Payroll!C110</f>
        <v>12179.75</v>
      </c>
      <c r="M10" s="54">
        <v>12739.43</v>
      </c>
      <c r="N10" s="54">
        <f>+[1]Payroll!E110</f>
        <v>12043.25</v>
      </c>
      <c r="O10" s="55">
        <f>SUM(L10:N10)</f>
        <v>36962.43</v>
      </c>
      <c r="P10" s="46"/>
      <c r="Q10" s="54">
        <f>+[1]Payroll!F110-430.6</f>
        <v>12227.599999999999</v>
      </c>
      <c r="R10" s="54">
        <f>+[1]Payroll!G110-430.6</f>
        <v>10712.949999999999</v>
      </c>
      <c r="S10" s="54">
        <f>+[1]Payroll!H110-430.61</f>
        <v>9121.24</v>
      </c>
      <c r="T10" s="55">
        <f>SUM(Q10:S10)</f>
        <v>32061.789999999994</v>
      </c>
      <c r="U10" s="66"/>
      <c r="V10" s="54"/>
      <c r="W10" s="54"/>
      <c r="X10" s="54"/>
      <c r="Y10" s="55">
        <f>SUM(V10:X10)</f>
        <v>0</v>
      </c>
      <c r="AA10" s="54"/>
      <c r="AB10" s="54"/>
      <c r="AC10" s="54"/>
      <c r="AD10" s="55">
        <f>SUM(AA10:AC10)</f>
        <v>0</v>
      </c>
      <c r="AF10" s="55">
        <f>+O10+T10</f>
        <v>69024.22</v>
      </c>
      <c r="AH10" s="55">
        <f>15272.48+41.04+801.52+139.12+14.18+28270.25+29.64+203.96+2517.86+354.92+69.13</f>
        <v>47714.1</v>
      </c>
      <c r="AJ10" s="55">
        <f>+AF10-AH10</f>
        <v>21310.120000000003</v>
      </c>
    </row>
    <row r="11" spans="1:36" ht="16.5" thickBot="1" x14ac:dyDescent="0.3">
      <c r="B11" s="39" t="s">
        <v>42</v>
      </c>
      <c r="C11" s="67"/>
      <c r="D11" s="51">
        <v>76234.63</v>
      </c>
      <c r="E11" s="51"/>
      <c r="F11" s="51"/>
      <c r="G11" s="51">
        <f t="shared" si="0"/>
        <v>76234.63</v>
      </c>
      <c r="H11" s="52">
        <f>+AF11</f>
        <v>33242.899409999998</v>
      </c>
      <c r="I11" s="42">
        <f>H11/D11</f>
        <v>0.43606034960752083</v>
      </c>
      <c r="J11" s="52">
        <f>+D11-H11</f>
        <v>42991.730590000006</v>
      </c>
      <c r="K11" s="53"/>
      <c r="L11" s="54">
        <f>+[1]Payroll!C112</f>
        <v>5492.9568099999997</v>
      </c>
      <c r="M11" s="54">
        <f>+[1]Payroll!D112</f>
        <v>4541.47127</v>
      </c>
      <c r="N11" s="54">
        <f>+[1]Payroll!E112</f>
        <v>5860.9772650000014</v>
      </c>
      <c r="O11" s="55">
        <f>SUM(L11:N11)</f>
        <v>15895.405345000001</v>
      </c>
      <c r="P11" s="46"/>
      <c r="Q11" s="54">
        <f>+[1]Payroll!F112</f>
        <v>5418.7730000000001</v>
      </c>
      <c r="R11" s="54">
        <f>+[1]Payroll!G112</f>
        <v>5820.34771</v>
      </c>
      <c r="S11" s="54">
        <f>+[1]Payroll!H112</f>
        <v>6108.3733549999997</v>
      </c>
      <c r="T11" s="55">
        <f>SUM(Q11:S11)</f>
        <v>17347.494064999999</v>
      </c>
      <c r="U11" s="66"/>
      <c r="V11" s="54"/>
      <c r="W11" s="54"/>
      <c r="X11" s="54"/>
      <c r="Y11" s="55">
        <f>SUM(V11:X11)</f>
        <v>0</v>
      </c>
      <c r="AA11" s="54"/>
      <c r="AB11" s="54"/>
      <c r="AC11" s="54"/>
      <c r="AD11" s="55">
        <f>SUM(AA11:AC11)</f>
        <v>0</v>
      </c>
      <c r="AF11" s="55">
        <f>+O11+T11</f>
        <v>33242.899409999998</v>
      </c>
      <c r="AH11" s="55">
        <f>5126.87+16187.32</f>
        <v>21314.19</v>
      </c>
      <c r="AJ11" s="55">
        <f>+AF11-AH11</f>
        <v>11928.709409999999</v>
      </c>
    </row>
    <row r="12" spans="1:36" ht="15.75" thickBot="1" x14ac:dyDescent="0.3">
      <c r="B12" s="58" t="s">
        <v>43</v>
      </c>
      <c r="C12" s="68"/>
      <c r="D12" s="59"/>
      <c r="E12" s="59"/>
      <c r="F12" s="59"/>
      <c r="G12" s="59"/>
      <c r="H12" s="60"/>
      <c r="I12" s="42"/>
      <c r="J12" s="60"/>
      <c r="K12" s="61"/>
      <c r="L12" s="54"/>
      <c r="M12" s="54"/>
      <c r="N12" s="54"/>
      <c r="O12" s="62"/>
      <c r="P12" s="46"/>
      <c r="Q12" s="54"/>
      <c r="R12" s="54"/>
      <c r="S12" s="54"/>
      <c r="T12" s="62"/>
      <c r="U12" s="69"/>
      <c r="V12" s="54"/>
      <c r="W12" s="54"/>
      <c r="X12" s="54"/>
      <c r="Y12" s="62"/>
      <c r="AA12" s="54"/>
      <c r="AB12" s="70"/>
      <c r="AC12" s="71"/>
      <c r="AD12" s="62"/>
      <c r="AF12" s="62"/>
      <c r="AH12" s="62"/>
      <c r="AJ12" s="62"/>
    </row>
    <row r="13" spans="1:36" ht="16.5" thickBot="1" x14ac:dyDescent="0.3">
      <c r="B13" s="39" t="s">
        <v>44</v>
      </c>
      <c r="C13" s="67"/>
      <c r="D13" s="51">
        <v>8500</v>
      </c>
      <c r="E13" s="51"/>
      <c r="F13" s="51"/>
      <c r="G13" s="51">
        <f t="shared" ref="G13:G15" si="1">+D13+E13+F13</f>
        <v>8500</v>
      </c>
      <c r="H13" s="52">
        <f>+AF13</f>
        <v>4491.9400000000005</v>
      </c>
      <c r="I13" s="42">
        <f>H13/D13</f>
        <v>0.52846352941176478</v>
      </c>
      <c r="J13" s="52">
        <f>+D13-H13</f>
        <v>4008.0599999999995</v>
      </c>
      <c r="K13" s="53"/>
      <c r="L13" s="72">
        <f>414.81+31.17+238.56</f>
        <v>684.54</v>
      </c>
      <c r="M13" s="72">
        <f>499.43+71.85+544.28</f>
        <v>1115.56</v>
      </c>
      <c r="N13" s="72">
        <f>635.92+124.96</f>
        <v>760.88</v>
      </c>
      <c r="O13" s="55">
        <f>SUM(L13:N13)</f>
        <v>2560.98</v>
      </c>
      <c r="P13" s="73"/>
      <c r="Q13" s="72">
        <f>515.69+196.69</f>
        <v>712.38000000000011</v>
      </c>
      <c r="R13" s="72">
        <f>507.24+148.97</f>
        <v>656.21</v>
      </c>
      <c r="S13" s="72">
        <f>495.69+66.68</f>
        <v>562.37</v>
      </c>
      <c r="T13" s="55">
        <f>SUM(Q13:S13)</f>
        <v>1930.96</v>
      </c>
      <c r="U13" s="73"/>
      <c r="V13" s="72"/>
      <c r="W13" s="72"/>
      <c r="X13" s="72"/>
      <c r="Y13" s="55">
        <f>SUM(V13:X13)</f>
        <v>0</v>
      </c>
      <c r="AA13" s="72"/>
      <c r="AB13" s="74"/>
      <c r="AC13" s="75"/>
      <c r="AD13" s="55">
        <f t="shared" ref="AD13:AD21" si="2">SUM(AA13:AC13)</f>
        <v>0</v>
      </c>
      <c r="AF13" s="55">
        <f>+O13+T13</f>
        <v>4491.9400000000005</v>
      </c>
      <c r="AH13" s="55">
        <f>2065.85+31.17+544.28+632.06</f>
        <v>3273.36</v>
      </c>
      <c r="AJ13" s="55">
        <f>+AF13-AH13</f>
        <v>1218.5800000000004</v>
      </c>
    </row>
    <row r="14" spans="1:36" ht="16.5" thickBot="1" x14ac:dyDescent="0.3">
      <c r="B14" s="39" t="s">
        <v>45</v>
      </c>
      <c r="C14" s="67"/>
      <c r="D14" s="51">
        <f>166000</f>
        <v>166000</v>
      </c>
      <c r="E14" s="51">
        <v>45273.440000000002</v>
      </c>
      <c r="F14" s="51"/>
      <c r="G14" s="51">
        <f t="shared" si="1"/>
        <v>211273.44</v>
      </c>
      <c r="H14" s="52">
        <f>+AF14</f>
        <v>117586.66</v>
      </c>
      <c r="I14" s="42">
        <f>H14/D14</f>
        <v>0.70835337349397598</v>
      </c>
      <c r="J14" s="52">
        <f>+D14-H14</f>
        <v>48413.34</v>
      </c>
      <c r="K14" s="53"/>
      <c r="L14" s="54">
        <v>17965.79</v>
      </c>
      <c r="M14" s="54">
        <v>19199.38</v>
      </c>
      <c r="N14" s="54">
        <v>20201.099999999999</v>
      </c>
      <c r="O14" s="55">
        <f>SUM(L14:N14)</f>
        <v>57366.27</v>
      </c>
      <c r="P14" s="46"/>
      <c r="Q14" s="54">
        <v>19800.87</v>
      </c>
      <c r="R14" s="54">
        <v>5000</v>
      </c>
      <c r="S14" s="54">
        <v>35419.519999999997</v>
      </c>
      <c r="T14" s="55">
        <f>SUM(Q14:S14)</f>
        <v>60220.39</v>
      </c>
      <c r="U14" s="66"/>
      <c r="V14" s="54"/>
      <c r="W14" s="54"/>
      <c r="X14" s="54"/>
      <c r="Y14" s="55">
        <f>SUM(V14:X14)</f>
        <v>0</v>
      </c>
      <c r="AA14" s="54"/>
      <c r="AB14" s="70"/>
      <c r="AC14" s="71"/>
      <c r="AD14" s="55">
        <f t="shared" si="2"/>
        <v>0</v>
      </c>
      <c r="AF14" s="55">
        <f>+O14+T14</f>
        <v>117586.66</v>
      </c>
      <c r="AH14" s="55">
        <v>77167.14</v>
      </c>
      <c r="AJ14" s="55">
        <f>+AF14-AH14</f>
        <v>40419.520000000004</v>
      </c>
    </row>
    <row r="15" spans="1:36" ht="16.5" thickBot="1" x14ac:dyDescent="0.3">
      <c r="B15" s="39" t="s">
        <v>46</v>
      </c>
      <c r="C15" s="50"/>
      <c r="D15" s="51">
        <v>25000</v>
      </c>
      <c r="E15" s="51">
        <v>4000</v>
      </c>
      <c r="F15" s="51"/>
      <c r="G15" s="51">
        <f t="shared" si="1"/>
        <v>29000</v>
      </c>
      <c r="H15" s="52">
        <f>+AF15</f>
        <v>24250</v>
      </c>
      <c r="I15" s="76">
        <f>H15/D15</f>
        <v>0.97</v>
      </c>
      <c r="J15" s="52">
        <f>+D15-H15</f>
        <v>750</v>
      </c>
      <c r="K15" s="53"/>
      <c r="L15" s="72">
        <f>2551.32+1504.18</f>
        <v>4055.5</v>
      </c>
      <c r="M15" s="72">
        <f>3489.13-3051.8</f>
        <v>437.32999999999993</v>
      </c>
      <c r="N15" s="72">
        <v>4612.79</v>
      </c>
      <c r="O15" s="55">
        <f>SUM(L15:N15)</f>
        <v>9105.619999999999</v>
      </c>
      <c r="P15" s="73"/>
      <c r="Q15" s="72">
        <f>7844.61-189.65</f>
        <v>7654.96</v>
      </c>
      <c r="R15" s="72">
        <f>2136.18+2752.94+1258.06</f>
        <v>6147.18</v>
      </c>
      <c r="S15" s="72">
        <f>2588.27-1246.03</f>
        <v>1342.24</v>
      </c>
      <c r="T15" s="55">
        <f>SUM(Q15:S15)</f>
        <v>15144.38</v>
      </c>
      <c r="U15" s="73"/>
      <c r="V15" s="72"/>
      <c r="W15" s="72"/>
      <c r="X15" s="72"/>
      <c r="Y15" s="55">
        <f>SUM(V15:X15)</f>
        <v>0</v>
      </c>
      <c r="AA15" s="72"/>
      <c r="AB15" s="74"/>
      <c r="AC15" s="75"/>
      <c r="AD15" s="55">
        <f t="shared" si="2"/>
        <v>0</v>
      </c>
      <c r="AF15" s="55">
        <f>+O15+T15</f>
        <v>24250</v>
      </c>
      <c r="AH15" s="55">
        <f>13778.44+2982.14</f>
        <v>16760.580000000002</v>
      </c>
      <c r="AJ15" s="55">
        <f>+AF15-AH15</f>
        <v>7489.4199999999983</v>
      </c>
    </row>
    <row r="16" spans="1:36" ht="16.5" thickBot="1" x14ac:dyDescent="0.3">
      <c r="B16" s="58" t="s">
        <v>47</v>
      </c>
      <c r="C16" s="67"/>
      <c r="D16" s="77"/>
      <c r="E16" s="77"/>
      <c r="F16" s="77"/>
      <c r="G16" s="77"/>
      <c r="H16" s="52"/>
      <c r="I16" s="42"/>
      <c r="J16" s="52"/>
      <c r="K16" s="53"/>
      <c r="L16" s="72"/>
      <c r="M16" s="72"/>
      <c r="N16" s="72"/>
      <c r="O16" s="55"/>
      <c r="P16" s="73"/>
      <c r="Q16" s="72"/>
      <c r="R16" s="72"/>
      <c r="S16" s="72"/>
      <c r="T16" s="55"/>
      <c r="U16" s="73"/>
      <c r="V16" s="72"/>
      <c r="W16" s="72"/>
      <c r="X16" s="72"/>
      <c r="Y16" s="55"/>
      <c r="AA16" s="72"/>
      <c r="AB16" s="74"/>
      <c r="AC16" s="75"/>
      <c r="AD16" s="55">
        <f t="shared" si="2"/>
        <v>0</v>
      </c>
      <c r="AF16" s="55"/>
      <c r="AH16" s="55"/>
      <c r="AJ16" s="55"/>
    </row>
    <row r="17" spans="2:36" ht="16.5" thickBot="1" x14ac:dyDescent="0.3">
      <c r="B17" s="78" t="s">
        <v>48</v>
      </c>
      <c r="C17" s="67"/>
      <c r="D17" s="51">
        <v>20200</v>
      </c>
      <c r="E17" s="51">
        <v>-4000</v>
      </c>
      <c r="F17" s="51"/>
      <c r="G17" s="51">
        <f t="shared" ref="G17:G21" si="3">+D17+E17+F17</f>
        <v>16200</v>
      </c>
      <c r="H17" s="52">
        <f>+AF17</f>
        <v>559.91999999999996</v>
      </c>
      <c r="I17" s="42">
        <f>H17/D17</f>
        <v>2.7718811881188118E-2</v>
      </c>
      <c r="J17" s="52">
        <f>+D17-H17</f>
        <v>19640.080000000002</v>
      </c>
      <c r="K17" s="53"/>
      <c r="L17" s="72"/>
      <c r="M17" s="72">
        <f>559.92</f>
        <v>559.91999999999996</v>
      </c>
      <c r="N17" s="72"/>
      <c r="O17" s="55">
        <f>SUM(L17:N17)</f>
        <v>559.91999999999996</v>
      </c>
      <c r="P17" s="73"/>
      <c r="Q17" s="72"/>
      <c r="R17" s="72"/>
      <c r="S17" s="72"/>
      <c r="T17" s="55">
        <f>SUM(Q17:S17)</f>
        <v>0</v>
      </c>
      <c r="U17" s="73"/>
      <c r="V17" s="72"/>
      <c r="W17" s="72"/>
      <c r="X17" s="72"/>
      <c r="Y17" s="55">
        <f>SUM(V17:X17)</f>
        <v>0</v>
      </c>
      <c r="AA17" s="72"/>
      <c r="AB17" s="74"/>
      <c r="AC17" s="75"/>
      <c r="AD17" s="55">
        <f t="shared" si="2"/>
        <v>0</v>
      </c>
      <c r="AF17" s="55">
        <f>+O17+T17</f>
        <v>559.91999999999996</v>
      </c>
      <c r="AH17" s="55">
        <v>559.91999999999996</v>
      </c>
      <c r="AJ17" s="55">
        <f>+AF17-AH17</f>
        <v>0</v>
      </c>
    </row>
    <row r="18" spans="2:36" ht="16.5" thickBot="1" x14ac:dyDescent="0.3">
      <c r="B18" s="39" t="s">
        <v>49</v>
      </c>
      <c r="C18" s="67"/>
      <c r="D18" s="51">
        <v>7800</v>
      </c>
      <c r="E18" s="51">
        <v>-2000</v>
      </c>
      <c r="F18" s="51"/>
      <c r="G18" s="51">
        <f t="shared" si="3"/>
        <v>5800</v>
      </c>
      <c r="H18" s="52">
        <f>+AF18</f>
        <v>1856.65</v>
      </c>
      <c r="I18" s="42">
        <f>H18/D18</f>
        <v>0.23803205128205129</v>
      </c>
      <c r="J18" s="52">
        <f>+D18-H18</f>
        <v>5943.35</v>
      </c>
      <c r="K18" s="53"/>
      <c r="L18" s="54">
        <v>209.86</v>
      </c>
      <c r="M18" s="54">
        <v>337.75</v>
      </c>
      <c r="N18" s="54">
        <f>188.89</f>
        <v>188.89</v>
      </c>
      <c r="O18" s="55">
        <f>SUM(L18:N18)</f>
        <v>736.5</v>
      </c>
      <c r="P18" s="46"/>
      <c r="Q18" s="54">
        <v>368.17</v>
      </c>
      <c r="R18" s="54">
        <v>221.44</v>
      </c>
      <c r="S18" s="54">
        <v>530.54</v>
      </c>
      <c r="T18" s="55">
        <f>SUM(Q18:S18)</f>
        <v>1120.1500000000001</v>
      </c>
      <c r="U18" s="66"/>
      <c r="V18" s="54"/>
      <c r="W18" s="54"/>
      <c r="X18" s="54"/>
      <c r="Y18" s="55">
        <f>SUM(V18:X18)</f>
        <v>0</v>
      </c>
      <c r="AA18" s="54"/>
      <c r="AB18" s="70"/>
      <c r="AC18" s="71"/>
      <c r="AD18" s="55">
        <f t="shared" si="2"/>
        <v>0</v>
      </c>
      <c r="AF18" s="55">
        <f>+O18+T18</f>
        <v>1856.65</v>
      </c>
      <c r="AH18" s="55">
        <f>983.9+120.77</f>
        <v>1104.67</v>
      </c>
      <c r="AJ18" s="55">
        <f>+AF18-AH18</f>
        <v>751.98</v>
      </c>
    </row>
    <row r="19" spans="2:36" ht="16.5" thickBot="1" x14ac:dyDescent="0.3">
      <c r="B19" s="39" t="s">
        <v>50</v>
      </c>
      <c r="C19" s="67"/>
      <c r="D19" s="51">
        <v>2100</v>
      </c>
      <c r="E19" s="51"/>
      <c r="F19" s="51"/>
      <c r="G19" s="51">
        <f t="shared" si="3"/>
        <v>2100</v>
      </c>
      <c r="H19" s="52">
        <f>+AF19</f>
        <v>1005.6099999999999</v>
      </c>
      <c r="I19" s="42">
        <f>H19/D19</f>
        <v>0.47886190476190471</v>
      </c>
      <c r="J19" s="52">
        <f>+D19-H19</f>
        <v>1094.3900000000001</v>
      </c>
      <c r="K19" s="53"/>
      <c r="L19" s="54">
        <v>471.55</v>
      </c>
      <c r="M19" s="54"/>
      <c r="N19" s="54">
        <f>128.26</f>
        <v>128.26</v>
      </c>
      <c r="O19" s="55">
        <f>SUM(L19:N19)</f>
        <v>599.80999999999995</v>
      </c>
      <c r="P19" s="46"/>
      <c r="Q19" s="54">
        <f>405.8</f>
        <v>405.8</v>
      </c>
      <c r="R19" s="54"/>
      <c r="S19" s="54"/>
      <c r="T19" s="55">
        <f>SUM(Q19:S19)</f>
        <v>405.8</v>
      </c>
      <c r="U19" s="66"/>
      <c r="V19" s="54"/>
      <c r="W19" s="54"/>
      <c r="X19" s="54"/>
      <c r="Y19" s="55">
        <f>SUM(V19:X19)</f>
        <v>0</v>
      </c>
      <c r="AA19" s="54"/>
      <c r="AB19" s="70"/>
      <c r="AC19" s="71"/>
      <c r="AD19" s="55">
        <f t="shared" si="2"/>
        <v>0</v>
      </c>
      <c r="AF19" s="55">
        <f>+O19+T19</f>
        <v>1005.6099999999999</v>
      </c>
      <c r="AH19" s="55">
        <f>877.35+128.26</f>
        <v>1005.61</v>
      </c>
      <c r="AJ19" s="55">
        <f>+AF19-AH19</f>
        <v>0</v>
      </c>
    </row>
    <row r="20" spans="2:36" ht="16.5" thickBot="1" x14ac:dyDescent="0.3">
      <c r="B20" s="78" t="s">
        <v>51</v>
      </c>
      <c r="C20" s="67"/>
      <c r="D20" s="51">
        <v>0</v>
      </c>
      <c r="E20" s="51"/>
      <c r="F20" s="51"/>
      <c r="G20" s="51">
        <f t="shared" si="3"/>
        <v>0</v>
      </c>
      <c r="H20" s="52">
        <f>+AF20</f>
        <v>0</v>
      </c>
      <c r="I20" s="42">
        <v>0</v>
      </c>
      <c r="J20" s="52">
        <f>+D20-H20</f>
        <v>0</v>
      </c>
      <c r="K20" s="53"/>
      <c r="L20" s="72"/>
      <c r="M20" s="72"/>
      <c r="N20" s="72"/>
      <c r="O20" s="55">
        <f>SUM(L20:N20)</f>
        <v>0</v>
      </c>
      <c r="P20" s="73"/>
      <c r="Q20" s="72"/>
      <c r="R20" s="72"/>
      <c r="S20" s="72"/>
      <c r="T20" s="55">
        <f>SUM(Q20:S20)</f>
        <v>0</v>
      </c>
      <c r="U20" s="73"/>
      <c r="V20" s="72"/>
      <c r="W20" s="72"/>
      <c r="X20" s="72"/>
      <c r="Y20" s="55">
        <f>SUM(V20:X20)</f>
        <v>0</v>
      </c>
      <c r="AA20" s="72"/>
      <c r="AB20" s="74"/>
      <c r="AC20" s="75"/>
      <c r="AD20" s="55">
        <f t="shared" si="2"/>
        <v>0</v>
      </c>
      <c r="AF20" s="55">
        <f>+O20+T20</f>
        <v>0</v>
      </c>
      <c r="AH20" s="55"/>
      <c r="AJ20" s="55">
        <f>+AF20-AH20</f>
        <v>0</v>
      </c>
    </row>
    <row r="21" spans="2:36" ht="16.5" thickBot="1" x14ac:dyDescent="0.3">
      <c r="B21" s="39" t="s">
        <v>52</v>
      </c>
      <c r="C21" s="50"/>
      <c r="D21" s="51">
        <v>10800</v>
      </c>
      <c r="E21" s="51">
        <v>-2000</v>
      </c>
      <c r="F21" s="51"/>
      <c r="G21" s="51">
        <f t="shared" si="3"/>
        <v>8800</v>
      </c>
      <c r="H21" s="52">
        <f>+AF21</f>
        <v>4400.6900000000005</v>
      </c>
      <c r="I21" s="42">
        <f>H21/D21</f>
        <v>0.40747129629629636</v>
      </c>
      <c r="J21" s="52">
        <f>+D21-H21</f>
        <v>6399.3099999999995</v>
      </c>
      <c r="K21" s="53"/>
      <c r="L21" s="54">
        <v>888.68</v>
      </c>
      <c r="M21" s="54">
        <f>102.38+42.77</f>
        <v>145.15</v>
      </c>
      <c r="N21" s="54">
        <f>937.4+31.98</f>
        <v>969.38</v>
      </c>
      <c r="O21" s="55">
        <f>SUM(L21:N21)</f>
        <v>2003.21</v>
      </c>
      <c r="P21" s="46"/>
      <c r="Q21" s="54">
        <f>196.65</f>
        <v>196.65</v>
      </c>
      <c r="R21" s="54">
        <v>940.46</v>
      </c>
      <c r="S21" s="54">
        <v>1260.3699999999999</v>
      </c>
      <c r="T21" s="55">
        <f>SUM(Q21:S21)</f>
        <v>2397.48</v>
      </c>
      <c r="U21" s="66"/>
      <c r="V21" s="54"/>
      <c r="W21" s="54"/>
      <c r="X21" s="54"/>
      <c r="Y21" s="55">
        <f>SUM(V21:X21)</f>
        <v>0</v>
      </c>
      <c r="AA21" s="54"/>
      <c r="AB21" s="70"/>
      <c r="AC21" s="71"/>
      <c r="AD21" s="55">
        <f t="shared" si="2"/>
        <v>0</v>
      </c>
      <c r="AF21" s="55">
        <f>+O21+T21</f>
        <v>4400.6900000000005</v>
      </c>
      <c r="AH21" s="55">
        <f>2125.11+74.75</f>
        <v>2199.86</v>
      </c>
      <c r="AJ21" s="55">
        <f>+AF21-AH21</f>
        <v>2200.8300000000004</v>
      </c>
    </row>
    <row r="22" spans="2:36" ht="16.5" thickBot="1" x14ac:dyDescent="0.3">
      <c r="B22" s="58" t="s">
        <v>53</v>
      </c>
      <c r="C22" s="67"/>
      <c r="D22" s="77"/>
      <c r="E22" s="77"/>
      <c r="F22" s="77"/>
      <c r="G22" s="77"/>
      <c r="H22" s="52"/>
      <c r="I22" s="42"/>
      <c r="J22" s="52"/>
      <c r="K22" s="53"/>
      <c r="L22" s="72"/>
      <c r="M22" s="72"/>
      <c r="N22" s="72"/>
      <c r="O22" s="79"/>
      <c r="P22" s="73"/>
      <c r="Q22" s="72"/>
      <c r="R22" s="72"/>
      <c r="S22" s="72"/>
      <c r="T22" s="79"/>
      <c r="U22" s="73"/>
      <c r="V22" s="72"/>
      <c r="W22" s="72"/>
      <c r="X22" s="72"/>
      <c r="Y22" s="79"/>
      <c r="AA22" s="72"/>
      <c r="AB22" s="74"/>
      <c r="AC22" s="75"/>
      <c r="AD22" s="79"/>
      <c r="AF22" s="79"/>
      <c r="AH22" s="79"/>
      <c r="AJ22" s="79"/>
    </row>
    <row r="23" spans="2:36" ht="16.5" thickBot="1" x14ac:dyDescent="0.3">
      <c r="B23" s="39" t="s">
        <v>54</v>
      </c>
      <c r="C23" s="67"/>
      <c r="D23" s="51">
        <v>3640</v>
      </c>
      <c r="E23" s="51">
        <v>-3640</v>
      </c>
      <c r="F23" s="51"/>
      <c r="G23" s="51">
        <f t="shared" ref="G23:G24" si="4">+D23+E23+F23</f>
        <v>0</v>
      </c>
      <c r="H23" s="52">
        <f>+AF23</f>
        <v>508</v>
      </c>
      <c r="I23" s="42">
        <f>H23/D23</f>
        <v>0.13956043956043956</v>
      </c>
      <c r="J23" s="52">
        <f>+D23-H23</f>
        <v>3132</v>
      </c>
      <c r="K23" s="53"/>
      <c r="L23" s="72"/>
      <c r="M23" s="72"/>
      <c r="N23" s="72"/>
      <c r="O23" s="55">
        <f>SUM(L23:N23)</f>
        <v>0</v>
      </c>
      <c r="P23" s="73"/>
      <c r="Q23" s="72">
        <v>508</v>
      </c>
      <c r="R23" s="72"/>
      <c r="S23" s="72"/>
      <c r="T23" s="55">
        <f>SUM(Q23:S23)</f>
        <v>508</v>
      </c>
      <c r="U23" s="73"/>
      <c r="V23" s="72"/>
      <c r="W23" s="72"/>
      <c r="X23" s="72"/>
      <c r="Y23" s="55">
        <f>SUM(V23:X23)</f>
        <v>0</v>
      </c>
      <c r="AA23" s="72"/>
      <c r="AB23" s="74"/>
      <c r="AC23" s="75"/>
      <c r="AD23" s="55">
        <f>SUM(AA23:AC23)</f>
        <v>0</v>
      </c>
      <c r="AF23" s="55">
        <f>+O23+T23</f>
        <v>508</v>
      </c>
      <c r="AH23" s="55"/>
      <c r="AJ23" s="55">
        <f>+AF23-AH23</f>
        <v>508</v>
      </c>
    </row>
    <row r="24" spans="2:36" ht="16.5" thickBot="1" x14ac:dyDescent="0.3">
      <c r="B24" s="39" t="s">
        <v>55</v>
      </c>
      <c r="C24" s="67"/>
      <c r="D24" s="51">
        <v>76000</v>
      </c>
      <c r="E24" s="51">
        <v>-20000</v>
      </c>
      <c r="F24" s="51"/>
      <c r="G24" s="51">
        <f t="shared" si="4"/>
        <v>56000</v>
      </c>
      <c r="H24" s="52">
        <f>+AF24</f>
        <v>11744.65</v>
      </c>
      <c r="I24" s="42">
        <f>H24/D24</f>
        <v>0.15453486842105263</v>
      </c>
      <c r="J24" s="52">
        <f>+D24-H24</f>
        <v>64255.35</v>
      </c>
      <c r="K24" s="53"/>
      <c r="L24" s="72"/>
      <c r="M24" s="72">
        <f>11744.65</f>
        <v>11744.65</v>
      </c>
      <c r="N24" s="72"/>
      <c r="O24" s="55">
        <f>SUM(L24:N24)</f>
        <v>11744.65</v>
      </c>
      <c r="P24" s="73"/>
      <c r="Q24" s="72"/>
      <c r="R24" s="72"/>
      <c r="S24" s="72"/>
      <c r="T24" s="55">
        <f>SUM(Q24:S24)</f>
        <v>0</v>
      </c>
      <c r="U24" s="73"/>
      <c r="V24" s="72"/>
      <c r="W24" s="72"/>
      <c r="X24" s="72"/>
      <c r="Y24" s="55">
        <f>SUM(V24:X24)</f>
        <v>0</v>
      </c>
      <c r="AA24" s="72"/>
      <c r="AB24" s="74"/>
      <c r="AC24" s="75"/>
      <c r="AD24" s="55">
        <f t="shared" ref="AD24:AD53" si="5">SUM(AA24:AC24)</f>
        <v>0</v>
      </c>
      <c r="AF24" s="55">
        <f>+O24+T24</f>
        <v>11744.65</v>
      </c>
      <c r="AH24" s="55">
        <f>508+11744.65</f>
        <v>12252.65</v>
      </c>
      <c r="AJ24" s="55">
        <f>+AF24-AH24</f>
        <v>-508</v>
      </c>
    </row>
    <row r="25" spans="2:36" ht="16.5" thickBot="1" x14ac:dyDescent="0.3">
      <c r="B25" s="58" t="s">
        <v>56</v>
      </c>
      <c r="C25" s="67"/>
      <c r="D25" s="77"/>
      <c r="E25" s="77"/>
      <c r="F25" s="77"/>
      <c r="G25" s="77"/>
      <c r="H25" s="52"/>
      <c r="I25" s="42"/>
      <c r="J25" s="52"/>
      <c r="K25" s="53"/>
      <c r="L25" s="72"/>
      <c r="M25" s="72"/>
      <c r="N25" s="72"/>
      <c r="O25" s="79"/>
      <c r="P25" s="73"/>
      <c r="Q25" s="72"/>
      <c r="R25" s="72"/>
      <c r="S25" s="72"/>
      <c r="T25" s="79"/>
      <c r="U25" s="73"/>
      <c r="V25" s="72"/>
      <c r="W25" s="72"/>
      <c r="X25" s="72"/>
      <c r="Y25" s="79"/>
      <c r="AA25" s="72"/>
      <c r="AB25" s="74"/>
      <c r="AC25" s="75"/>
      <c r="AD25" s="79"/>
      <c r="AF25" s="79"/>
      <c r="AH25" s="79"/>
      <c r="AJ25" s="79"/>
    </row>
    <row r="26" spans="2:36" ht="16.5" thickBot="1" x14ac:dyDescent="0.3">
      <c r="B26" s="39" t="s">
        <v>57</v>
      </c>
      <c r="C26" s="67"/>
      <c r="D26" s="51"/>
      <c r="E26" s="51"/>
      <c r="F26" s="51"/>
      <c r="G26" s="51">
        <f t="shared" ref="G26:G27" si="6">+D26+E26+F26</f>
        <v>0</v>
      </c>
      <c r="H26" s="52">
        <f>+AF26</f>
        <v>1365</v>
      </c>
      <c r="I26" s="76" t="e">
        <f>H26/D26</f>
        <v>#DIV/0!</v>
      </c>
      <c r="J26" s="52">
        <f>+D26-H26</f>
        <v>-1365</v>
      </c>
      <c r="K26" s="53"/>
      <c r="L26" s="72"/>
      <c r="M26" s="72"/>
      <c r="N26" s="72"/>
      <c r="O26" s="55">
        <f>SUM(L26:N26)</f>
        <v>0</v>
      </c>
      <c r="P26" s="73"/>
      <c r="Q26" s="72"/>
      <c r="R26" s="72"/>
      <c r="S26" s="72">
        <v>1365</v>
      </c>
      <c r="T26" s="55">
        <f>SUM(Q26:S26)</f>
        <v>1365</v>
      </c>
      <c r="U26" s="73"/>
      <c r="V26" s="72"/>
      <c r="W26" s="72"/>
      <c r="X26" s="72"/>
      <c r="Y26" s="55">
        <f>SUM(V26:X26)</f>
        <v>0</v>
      </c>
      <c r="AA26" s="72"/>
      <c r="AB26" s="74"/>
      <c r="AC26" s="75"/>
      <c r="AD26" s="55">
        <f>SUM(AA26:AC26)</f>
        <v>0</v>
      </c>
      <c r="AF26" s="55">
        <f>+O26+T26</f>
        <v>1365</v>
      </c>
      <c r="AH26" s="55"/>
      <c r="AJ26" s="55">
        <f>+AF26-AH26</f>
        <v>1365</v>
      </c>
    </row>
    <row r="27" spans="2:36" ht="16.5" thickBot="1" x14ac:dyDescent="0.3">
      <c r="B27" s="39" t="s">
        <v>58</v>
      </c>
      <c r="C27" s="67"/>
      <c r="D27" s="51">
        <v>6800</v>
      </c>
      <c r="E27" s="51"/>
      <c r="F27" s="51"/>
      <c r="G27" s="51">
        <f t="shared" si="6"/>
        <v>6800</v>
      </c>
      <c r="H27" s="52">
        <f>+AF27</f>
        <v>5068.2299999999996</v>
      </c>
      <c r="I27" s="76">
        <f>H27/D27</f>
        <v>0.7453279411764705</v>
      </c>
      <c r="J27" s="52">
        <f>+D27-H27</f>
        <v>1731.7700000000004</v>
      </c>
      <c r="K27" s="53"/>
      <c r="L27" s="72">
        <v>454</v>
      </c>
      <c r="M27" s="72">
        <v>507</v>
      </c>
      <c r="N27" s="72"/>
      <c r="O27" s="55">
        <f>SUM(L27:N27)</f>
        <v>961</v>
      </c>
      <c r="P27" s="73"/>
      <c r="Q27" s="72">
        <v>58.73</v>
      </c>
      <c r="R27" s="72"/>
      <c r="S27" s="72">
        <v>4048.5</v>
      </c>
      <c r="T27" s="55">
        <f>SUM(Q27:S27)</f>
        <v>4107.2299999999996</v>
      </c>
      <c r="U27" s="73"/>
      <c r="V27" s="72"/>
      <c r="W27" s="72"/>
      <c r="X27" s="72"/>
      <c r="Y27" s="55">
        <f>SUM(V27:X27)</f>
        <v>0</v>
      </c>
      <c r="AA27" s="72"/>
      <c r="AB27" s="74"/>
      <c r="AC27" s="75"/>
      <c r="AD27" s="55">
        <f>SUM(AA27:AC27)</f>
        <v>0</v>
      </c>
      <c r="AF27" s="55">
        <f>+O27+T27</f>
        <v>5068.2299999999996</v>
      </c>
      <c r="AH27" s="55">
        <f>508+11744.65</f>
        <v>12252.65</v>
      </c>
      <c r="AJ27" s="55">
        <f>+AF27-AH27</f>
        <v>-7184.42</v>
      </c>
    </row>
    <row r="28" spans="2:36" ht="16.5" thickBot="1" x14ac:dyDescent="0.3">
      <c r="B28" s="58" t="s">
        <v>59</v>
      </c>
      <c r="C28" s="67"/>
      <c r="D28" s="77"/>
      <c r="E28" s="77"/>
      <c r="F28" s="77"/>
      <c r="G28" s="77"/>
      <c r="H28" s="52"/>
      <c r="I28" s="42"/>
      <c r="J28" s="52"/>
      <c r="K28" s="53"/>
      <c r="L28" s="72"/>
      <c r="M28" s="72"/>
      <c r="N28" s="72"/>
      <c r="O28" s="79"/>
      <c r="P28" s="73"/>
      <c r="Q28" s="72"/>
      <c r="R28" s="72"/>
      <c r="S28" s="72"/>
      <c r="T28" s="79"/>
      <c r="U28" s="73"/>
      <c r="V28" s="72"/>
      <c r="W28" s="72"/>
      <c r="X28" s="72"/>
      <c r="Y28" s="79"/>
      <c r="AA28" s="72"/>
      <c r="AB28" s="74"/>
      <c r="AC28" s="75"/>
      <c r="AD28" s="55"/>
      <c r="AF28" s="79"/>
      <c r="AH28" s="79"/>
      <c r="AJ28" s="79"/>
    </row>
    <row r="29" spans="2:36" ht="16.5" thickBot="1" x14ac:dyDescent="0.3">
      <c r="B29" s="78" t="s">
        <v>60</v>
      </c>
      <c r="C29" s="67"/>
      <c r="D29" s="51">
        <v>5500</v>
      </c>
      <c r="E29" s="51"/>
      <c r="F29" s="51"/>
      <c r="G29" s="51">
        <f t="shared" ref="G29:G39" si="7">+D29+E29+F29</f>
        <v>5500</v>
      </c>
      <c r="H29" s="52">
        <f t="shared" ref="H29:H39" si="8">+AF29</f>
        <v>1145</v>
      </c>
      <c r="I29" s="42">
        <f t="shared" ref="I29:I39" si="9">H29/D29</f>
        <v>0.20818181818181819</v>
      </c>
      <c r="J29" s="52">
        <f t="shared" ref="J29:J39" si="10">+D29-H29</f>
        <v>4355</v>
      </c>
      <c r="K29" s="53"/>
      <c r="L29" s="54">
        <v>246</v>
      </c>
      <c r="M29" s="54"/>
      <c r="N29" s="54"/>
      <c r="O29" s="55">
        <f t="shared" ref="O29:O39" si="11">SUM(L29:N29)</f>
        <v>246</v>
      </c>
      <c r="P29" s="46"/>
      <c r="Q29" s="54"/>
      <c r="R29" s="54"/>
      <c r="S29" s="54">
        <v>899</v>
      </c>
      <c r="T29" s="55">
        <f t="shared" ref="T29:T39" si="12">SUM(Q29:S29)</f>
        <v>899</v>
      </c>
      <c r="U29" s="66"/>
      <c r="V29" s="54"/>
      <c r="W29" s="54"/>
      <c r="X29" s="54"/>
      <c r="Y29" s="55">
        <f t="shared" ref="Y29:Y37" si="13">SUM(V29:X29)</f>
        <v>0</v>
      </c>
      <c r="AA29" s="54"/>
      <c r="AB29" s="70"/>
      <c r="AC29" s="71"/>
      <c r="AD29" s="55">
        <f t="shared" si="5"/>
        <v>0</v>
      </c>
      <c r="AF29" s="55">
        <f t="shared" ref="AF29:AF39" si="14">+O29+T29</f>
        <v>1145</v>
      </c>
      <c r="AH29" s="55">
        <v>246</v>
      </c>
      <c r="AJ29" s="55">
        <f t="shared" ref="AJ29:AJ53" si="15">+AF29-AH29</f>
        <v>899</v>
      </c>
    </row>
    <row r="30" spans="2:36" ht="16.5" thickBot="1" x14ac:dyDescent="0.3">
      <c r="B30" s="39" t="s">
        <v>61</v>
      </c>
      <c r="C30" s="67"/>
      <c r="D30" s="51">
        <v>19000</v>
      </c>
      <c r="E30" s="51"/>
      <c r="F30" s="51"/>
      <c r="G30" s="51">
        <f t="shared" si="7"/>
        <v>19000</v>
      </c>
      <c r="H30" s="52">
        <f t="shared" si="8"/>
        <v>2645</v>
      </c>
      <c r="I30" s="42">
        <f t="shared" si="9"/>
        <v>0.13921052631578948</v>
      </c>
      <c r="J30" s="52">
        <f t="shared" si="10"/>
        <v>16355</v>
      </c>
      <c r="K30" s="53"/>
      <c r="L30" s="72"/>
      <c r="M30" s="72"/>
      <c r="N30" s="72"/>
      <c r="O30" s="55">
        <f t="shared" si="11"/>
        <v>0</v>
      </c>
      <c r="P30" s="73"/>
      <c r="Q30" s="72">
        <v>172.5</v>
      </c>
      <c r="R30" s="72"/>
      <c r="S30" s="72">
        <v>2472.5</v>
      </c>
      <c r="T30" s="55">
        <f t="shared" si="12"/>
        <v>2645</v>
      </c>
      <c r="U30" s="73"/>
      <c r="V30" s="72"/>
      <c r="W30" s="72"/>
      <c r="X30" s="72"/>
      <c r="Y30" s="55">
        <f t="shared" si="13"/>
        <v>0</v>
      </c>
      <c r="AA30" s="72"/>
      <c r="AB30" s="74"/>
      <c r="AC30" s="75"/>
      <c r="AD30" s="55">
        <f t="shared" si="5"/>
        <v>0</v>
      </c>
      <c r="AF30" s="55">
        <f t="shared" si="14"/>
        <v>2645</v>
      </c>
      <c r="AH30" s="55">
        <v>172.5</v>
      </c>
      <c r="AJ30" s="55">
        <f t="shared" si="15"/>
        <v>2472.5</v>
      </c>
    </row>
    <row r="31" spans="2:36" ht="16.5" thickBot="1" x14ac:dyDescent="0.3">
      <c r="B31" s="39" t="s">
        <v>62</v>
      </c>
      <c r="C31" s="67"/>
      <c r="D31" s="51">
        <v>32500</v>
      </c>
      <c r="E31" s="51"/>
      <c r="F31" s="51"/>
      <c r="G31" s="51">
        <f t="shared" si="7"/>
        <v>32500</v>
      </c>
      <c r="H31" s="52">
        <f t="shared" si="8"/>
        <v>0</v>
      </c>
      <c r="I31" s="42">
        <f t="shared" si="9"/>
        <v>0</v>
      </c>
      <c r="J31" s="52">
        <f t="shared" si="10"/>
        <v>32500</v>
      </c>
      <c r="K31" s="53"/>
      <c r="L31" s="72"/>
      <c r="M31" s="72"/>
      <c r="N31" s="72"/>
      <c r="O31" s="55">
        <f t="shared" si="11"/>
        <v>0</v>
      </c>
      <c r="P31" s="73"/>
      <c r="Q31" s="72"/>
      <c r="R31" s="72"/>
      <c r="S31" s="72"/>
      <c r="T31" s="55">
        <f t="shared" si="12"/>
        <v>0</v>
      </c>
      <c r="U31" s="73"/>
      <c r="V31" s="72"/>
      <c r="W31" s="72"/>
      <c r="X31" s="72"/>
      <c r="Y31" s="55">
        <f t="shared" si="13"/>
        <v>0</v>
      </c>
      <c r="AA31" s="72"/>
      <c r="AB31" s="74"/>
      <c r="AC31" s="75"/>
      <c r="AD31" s="55">
        <f t="shared" si="5"/>
        <v>0</v>
      </c>
      <c r="AF31" s="55">
        <f t="shared" si="14"/>
        <v>0</v>
      </c>
      <c r="AH31" s="55"/>
      <c r="AJ31" s="55">
        <f t="shared" si="15"/>
        <v>0</v>
      </c>
    </row>
    <row r="32" spans="2:36" ht="16.5" thickBot="1" x14ac:dyDescent="0.3">
      <c r="B32" s="39" t="s">
        <v>63</v>
      </c>
      <c r="C32" s="67"/>
      <c r="D32" s="80">
        <v>6720</v>
      </c>
      <c r="E32" s="80"/>
      <c r="F32" s="80"/>
      <c r="G32" s="51">
        <f t="shared" si="7"/>
        <v>6720</v>
      </c>
      <c r="H32" s="52">
        <f t="shared" si="8"/>
        <v>2125</v>
      </c>
      <c r="I32" s="42">
        <f t="shared" si="9"/>
        <v>0.31622023809523808</v>
      </c>
      <c r="J32" s="52">
        <f t="shared" si="10"/>
        <v>4595</v>
      </c>
      <c r="K32" s="53"/>
      <c r="L32" s="54">
        <f>195</f>
        <v>195</v>
      </c>
      <c r="M32" s="54"/>
      <c r="N32" s="54">
        <f>80</f>
        <v>80</v>
      </c>
      <c r="O32" s="62">
        <f t="shared" si="11"/>
        <v>275</v>
      </c>
      <c r="P32" s="46"/>
      <c r="Q32" s="54"/>
      <c r="R32" s="54">
        <v>1120</v>
      </c>
      <c r="S32" s="54">
        <f>170+560</f>
        <v>730</v>
      </c>
      <c r="T32" s="55">
        <f t="shared" si="12"/>
        <v>1850</v>
      </c>
      <c r="U32" s="46"/>
      <c r="V32" s="54"/>
      <c r="W32" s="54"/>
      <c r="X32" s="54"/>
      <c r="Y32" s="62">
        <f t="shared" si="13"/>
        <v>0</v>
      </c>
      <c r="AA32" s="54"/>
      <c r="AB32" s="70"/>
      <c r="AC32" s="71"/>
      <c r="AD32" s="55">
        <f t="shared" si="5"/>
        <v>0</v>
      </c>
      <c r="AF32" s="55">
        <f t="shared" si="14"/>
        <v>2125</v>
      </c>
      <c r="AH32" s="55">
        <f>275</f>
        <v>275</v>
      </c>
      <c r="AJ32" s="55">
        <f t="shared" si="15"/>
        <v>1850</v>
      </c>
    </row>
    <row r="33" spans="2:38" ht="16.5" thickBot="1" x14ac:dyDescent="0.3">
      <c r="B33" s="39" t="s">
        <v>64</v>
      </c>
      <c r="C33" s="67"/>
      <c r="D33" s="51">
        <v>17200</v>
      </c>
      <c r="E33" s="51"/>
      <c r="F33" s="51"/>
      <c r="G33" s="51">
        <f t="shared" si="7"/>
        <v>17200</v>
      </c>
      <c r="H33" s="52">
        <f t="shared" si="8"/>
        <v>7453.5</v>
      </c>
      <c r="I33" s="42">
        <f t="shared" si="9"/>
        <v>0.43334302325581397</v>
      </c>
      <c r="J33" s="52">
        <f t="shared" si="10"/>
        <v>9746.5</v>
      </c>
      <c r="K33" s="53"/>
      <c r="L33" s="72">
        <f>516+693.91+207.36</f>
        <v>1417.27</v>
      </c>
      <c r="M33" s="72">
        <f>421.94+204</f>
        <v>625.94000000000005</v>
      </c>
      <c r="N33" s="72">
        <f>477.12+192.4+321</f>
        <v>990.52</v>
      </c>
      <c r="O33" s="55">
        <f t="shared" si="11"/>
        <v>3033.73</v>
      </c>
      <c r="P33" s="73"/>
      <c r="Q33" s="72">
        <f>239.04+1062.02+301.49</f>
        <v>1602.55</v>
      </c>
      <c r="R33" s="72">
        <f>778.28+728.76</f>
        <v>1507.04</v>
      </c>
      <c r="S33" s="72">
        <f>410.04+728.76+171.38</f>
        <v>1310.1799999999998</v>
      </c>
      <c r="T33" s="55">
        <f t="shared" si="12"/>
        <v>4419.7700000000004</v>
      </c>
      <c r="U33" s="81"/>
      <c r="V33" s="72"/>
      <c r="W33" s="72"/>
      <c r="X33" s="72"/>
      <c r="Y33" s="55">
        <f t="shared" si="13"/>
        <v>0</v>
      </c>
      <c r="AA33" s="72"/>
      <c r="AB33" s="74"/>
      <c r="AC33" s="75"/>
      <c r="AD33" s="55">
        <f t="shared" si="5"/>
        <v>0</v>
      </c>
      <c r="AF33" s="55">
        <f t="shared" si="14"/>
        <v>7453.5</v>
      </c>
      <c r="AH33" s="55">
        <f>1280.04+2654.99+701.25</f>
        <v>4636.28</v>
      </c>
      <c r="AJ33" s="55">
        <f t="shared" si="15"/>
        <v>2817.2200000000003</v>
      </c>
    </row>
    <row r="34" spans="2:38" ht="16.5" thickBot="1" x14ac:dyDescent="0.3">
      <c r="B34" s="39" t="s">
        <v>65</v>
      </c>
      <c r="C34" s="67"/>
      <c r="D34" s="51">
        <v>20000</v>
      </c>
      <c r="E34" s="51">
        <v>-17633.439999999999</v>
      </c>
      <c r="F34" s="51"/>
      <c r="G34" s="51">
        <f t="shared" si="7"/>
        <v>2366.5600000000013</v>
      </c>
      <c r="H34" s="52">
        <f t="shared" si="8"/>
        <v>366.56</v>
      </c>
      <c r="I34" s="42">
        <f t="shared" si="9"/>
        <v>1.8328000000000001E-2</v>
      </c>
      <c r="J34" s="52">
        <f t="shared" si="10"/>
        <v>19633.439999999999</v>
      </c>
      <c r="K34" s="53"/>
      <c r="L34" s="72"/>
      <c r="M34" s="72"/>
      <c r="N34" s="72">
        <v>366.56</v>
      </c>
      <c r="O34" s="55">
        <f t="shared" si="11"/>
        <v>366.56</v>
      </c>
      <c r="P34" s="73"/>
      <c r="Q34" s="72"/>
      <c r="R34" s="72"/>
      <c r="S34" s="72"/>
      <c r="T34" s="55">
        <f t="shared" si="12"/>
        <v>0</v>
      </c>
      <c r="U34" s="73"/>
      <c r="V34" s="72"/>
      <c r="W34" s="72"/>
      <c r="X34" s="72"/>
      <c r="Y34" s="55"/>
      <c r="AA34" s="72"/>
      <c r="AB34" s="74"/>
      <c r="AC34" s="75"/>
      <c r="AD34" s="55"/>
      <c r="AF34" s="55">
        <f t="shared" si="14"/>
        <v>366.56</v>
      </c>
      <c r="AH34" s="55">
        <v>366.56</v>
      </c>
      <c r="AJ34" s="55">
        <f t="shared" si="15"/>
        <v>0</v>
      </c>
    </row>
    <row r="35" spans="2:38" ht="16.5" thickBot="1" x14ac:dyDescent="0.3">
      <c r="B35" s="39" t="s">
        <v>66</v>
      </c>
      <c r="C35" s="67"/>
      <c r="D35" s="51">
        <v>12000</v>
      </c>
      <c r="E35" s="51"/>
      <c r="F35" s="51"/>
      <c r="G35" s="51">
        <f t="shared" si="7"/>
        <v>12000</v>
      </c>
      <c r="H35" s="52">
        <f t="shared" si="8"/>
        <v>0</v>
      </c>
      <c r="I35" s="42">
        <f t="shared" si="9"/>
        <v>0</v>
      </c>
      <c r="J35" s="52">
        <f t="shared" si="10"/>
        <v>12000</v>
      </c>
      <c r="K35" s="53"/>
      <c r="L35" s="72"/>
      <c r="M35" s="72"/>
      <c r="N35" s="72"/>
      <c r="O35" s="55"/>
      <c r="P35" s="73"/>
      <c r="Q35" s="72"/>
      <c r="R35" s="72"/>
      <c r="S35" s="72"/>
      <c r="T35" s="55">
        <f t="shared" si="12"/>
        <v>0</v>
      </c>
      <c r="U35" s="73"/>
      <c r="V35" s="72"/>
      <c r="W35" s="72"/>
      <c r="X35" s="72"/>
      <c r="Y35" s="55"/>
      <c r="AA35" s="72"/>
      <c r="AB35" s="74"/>
      <c r="AC35" s="75"/>
      <c r="AD35" s="55"/>
      <c r="AF35" s="55">
        <f t="shared" si="14"/>
        <v>0</v>
      </c>
      <c r="AH35" s="55"/>
      <c r="AJ35" s="55">
        <f t="shared" si="15"/>
        <v>0</v>
      </c>
    </row>
    <row r="36" spans="2:38" ht="16.5" thickBot="1" x14ac:dyDescent="0.3">
      <c r="B36" s="39" t="s">
        <v>67</v>
      </c>
      <c r="C36" s="67"/>
      <c r="D36" s="51">
        <v>3500</v>
      </c>
      <c r="E36" s="51"/>
      <c r="F36" s="51"/>
      <c r="G36" s="51">
        <f t="shared" si="7"/>
        <v>3500</v>
      </c>
      <c r="H36" s="52">
        <f t="shared" si="8"/>
        <v>1141.6300000000001</v>
      </c>
      <c r="I36" s="42">
        <f t="shared" si="9"/>
        <v>0.32618000000000003</v>
      </c>
      <c r="J36" s="52">
        <f t="shared" si="10"/>
        <v>2358.37</v>
      </c>
      <c r="K36" s="53"/>
      <c r="L36" s="72">
        <v>250.2</v>
      </c>
      <c r="M36" s="72"/>
      <c r="N36" s="72">
        <f>59.57</f>
        <v>59.57</v>
      </c>
      <c r="O36" s="55">
        <f t="shared" si="11"/>
        <v>309.77</v>
      </c>
      <c r="P36" s="73"/>
      <c r="Q36" s="72">
        <f>289</f>
        <v>289</v>
      </c>
      <c r="R36" s="72">
        <f>376.06+166.8</f>
        <v>542.86</v>
      </c>
      <c r="S36" s="72"/>
      <c r="T36" s="55">
        <f t="shared" si="12"/>
        <v>831.86</v>
      </c>
      <c r="U36" s="73"/>
      <c r="V36" s="72"/>
      <c r="W36" s="72"/>
      <c r="X36" s="72"/>
      <c r="Y36" s="55">
        <f t="shared" si="13"/>
        <v>0</v>
      </c>
      <c r="AA36" s="72"/>
      <c r="AB36" s="74"/>
      <c r="AC36" s="75"/>
      <c r="AD36" s="55">
        <f t="shared" si="5"/>
        <v>0</v>
      </c>
      <c r="AF36" s="55">
        <f t="shared" si="14"/>
        <v>1141.6300000000001</v>
      </c>
      <c r="AH36" s="55">
        <f>309.77+289</f>
        <v>598.77</v>
      </c>
      <c r="AJ36" s="55">
        <f t="shared" si="15"/>
        <v>542.86000000000013</v>
      </c>
    </row>
    <row r="37" spans="2:38" ht="16.5" thickBot="1" x14ac:dyDescent="0.3">
      <c r="B37" s="39" t="s">
        <v>68</v>
      </c>
      <c r="C37" s="67"/>
      <c r="D37" s="51">
        <v>3025</v>
      </c>
      <c r="E37" s="51"/>
      <c r="F37" s="51"/>
      <c r="G37" s="51">
        <f t="shared" si="7"/>
        <v>3025</v>
      </c>
      <c r="H37" s="52">
        <f t="shared" si="8"/>
        <v>1172.49</v>
      </c>
      <c r="I37" s="42">
        <f t="shared" si="9"/>
        <v>0.3876</v>
      </c>
      <c r="J37" s="52">
        <f t="shared" si="10"/>
        <v>1852.51</v>
      </c>
      <c r="K37" s="53"/>
      <c r="L37" s="72">
        <f>140.8+70.4+69</f>
        <v>280.20000000000005</v>
      </c>
      <c r="M37" s="72"/>
      <c r="N37" s="72">
        <f>86.64+296.77+69</f>
        <v>452.40999999999997</v>
      </c>
      <c r="O37" s="55">
        <f t="shared" si="11"/>
        <v>732.61</v>
      </c>
      <c r="P37" s="73"/>
      <c r="Q37" s="72">
        <f>5</f>
        <v>5</v>
      </c>
      <c r="R37" s="72">
        <v>168</v>
      </c>
      <c r="S37" s="72">
        <f>97.48+70.4+99</f>
        <v>266.88</v>
      </c>
      <c r="T37" s="55">
        <f t="shared" si="12"/>
        <v>439.88</v>
      </c>
      <c r="U37" s="73"/>
      <c r="V37" s="72"/>
      <c r="W37" s="72"/>
      <c r="X37" s="72"/>
      <c r="Y37" s="55">
        <f t="shared" si="13"/>
        <v>0</v>
      </c>
      <c r="AA37" s="72"/>
      <c r="AB37" s="74"/>
      <c r="AC37" s="75"/>
      <c r="AD37" s="55">
        <f t="shared" si="5"/>
        <v>0</v>
      </c>
      <c r="AF37" s="55">
        <f t="shared" si="14"/>
        <v>1172.49</v>
      </c>
      <c r="AH37" s="55">
        <f>227.44+367.17+143</f>
        <v>737.61</v>
      </c>
      <c r="AJ37" s="55">
        <f t="shared" si="15"/>
        <v>434.88</v>
      </c>
    </row>
    <row r="38" spans="2:38" ht="16.5" thickBot="1" x14ac:dyDescent="0.3">
      <c r="B38" s="39" t="s">
        <v>69</v>
      </c>
      <c r="C38" s="67"/>
      <c r="D38" s="51">
        <v>5800</v>
      </c>
      <c r="E38" s="51"/>
      <c r="F38" s="51"/>
      <c r="G38" s="51">
        <f t="shared" si="7"/>
        <v>5800</v>
      </c>
      <c r="H38" s="52">
        <f t="shared" si="8"/>
        <v>1400.2</v>
      </c>
      <c r="I38" s="42">
        <f t="shared" si="9"/>
        <v>0.24141379310344829</v>
      </c>
      <c r="J38" s="52">
        <f t="shared" si="10"/>
        <v>4399.8</v>
      </c>
      <c r="K38" s="53"/>
      <c r="L38" s="72"/>
      <c r="M38" s="72">
        <v>114</v>
      </c>
      <c r="N38" s="72">
        <v>1286.2</v>
      </c>
      <c r="O38" s="55">
        <f t="shared" si="11"/>
        <v>1400.2</v>
      </c>
      <c r="P38" s="73"/>
      <c r="Q38" s="72"/>
      <c r="R38" s="72"/>
      <c r="S38" s="72"/>
      <c r="T38" s="55">
        <f t="shared" si="12"/>
        <v>0</v>
      </c>
      <c r="U38" s="73"/>
      <c r="V38" s="72"/>
      <c r="W38" s="72"/>
      <c r="X38" s="72"/>
      <c r="Y38" s="55"/>
      <c r="AA38" s="72"/>
      <c r="AB38" s="74"/>
      <c r="AC38" s="75"/>
      <c r="AD38" s="55"/>
      <c r="AF38" s="55">
        <f t="shared" si="14"/>
        <v>1400.2</v>
      </c>
      <c r="AH38" s="55">
        <f>1400.2</f>
        <v>1400.2</v>
      </c>
      <c r="AJ38" s="55">
        <f t="shared" si="15"/>
        <v>0</v>
      </c>
    </row>
    <row r="39" spans="2:38" ht="16.5" thickBot="1" x14ac:dyDescent="0.3">
      <c r="B39" s="39" t="s">
        <v>70</v>
      </c>
      <c r="C39" s="67"/>
      <c r="D39" s="51">
        <v>6800</v>
      </c>
      <c r="E39" s="51"/>
      <c r="F39" s="51"/>
      <c r="G39" s="51">
        <f t="shared" si="7"/>
        <v>6800</v>
      </c>
      <c r="H39" s="52">
        <f t="shared" si="8"/>
        <v>0</v>
      </c>
      <c r="I39" s="42">
        <f t="shared" si="9"/>
        <v>0</v>
      </c>
      <c r="J39" s="52">
        <f t="shared" si="10"/>
        <v>6800</v>
      </c>
      <c r="K39" s="53"/>
      <c r="L39" s="72"/>
      <c r="M39" s="72"/>
      <c r="N39" s="72"/>
      <c r="O39" s="55">
        <f t="shared" si="11"/>
        <v>0</v>
      </c>
      <c r="P39" s="73"/>
      <c r="Q39" s="72"/>
      <c r="R39" s="72"/>
      <c r="S39" s="72"/>
      <c r="T39" s="55">
        <f t="shared" si="12"/>
        <v>0</v>
      </c>
      <c r="U39" s="73"/>
      <c r="V39" s="72"/>
      <c r="W39" s="72"/>
      <c r="X39" s="72"/>
      <c r="Y39" s="55"/>
      <c r="AA39" s="72"/>
      <c r="AB39" s="74"/>
      <c r="AC39" s="75"/>
      <c r="AD39" s="55"/>
      <c r="AF39" s="55">
        <f t="shared" si="14"/>
        <v>0</v>
      </c>
      <c r="AH39" s="55">
        <f>58.73+961</f>
        <v>1019.73</v>
      </c>
      <c r="AJ39" s="55">
        <f t="shared" si="15"/>
        <v>-1019.73</v>
      </c>
    </row>
    <row r="40" spans="2:38" ht="16.5" thickBot="1" x14ac:dyDescent="0.3">
      <c r="B40" s="58" t="s">
        <v>71</v>
      </c>
      <c r="C40" s="67"/>
      <c r="D40" s="77"/>
      <c r="E40" s="77"/>
      <c r="F40" s="77"/>
      <c r="G40" s="77"/>
      <c r="H40" s="52"/>
      <c r="I40" s="42"/>
      <c r="J40" s="52"/>
      <c r="K40" s="53"/>
      <c r="L40" s="72"/>
      <c r="M40" s="72"/>
      <c r="N40" s="72"/>
      <c r="O40" s="79"/>
      <c r="P40" s="73"/>
      <c r="Q40" s="72"/>
      <c r="R40" s="72"/>
      <c r="S40" s="72"/>
      <c r="T40" s="79"/>
      <c r="U40" s="73"/>
      <c r="V40" s="72"/>
      <c r="W40" s="72"/>
      <c r="X40" s="72"/>
      <c r="Y40" s="79"/>
      <c r="AA40" s="72"/>
      <c r="AB40" s="74"/>
      <c r="AC40" s="75"/>
      <c r="AD40" s="79"/>
      <c r="AF40" s="79"/>
      <c r="AH40" s="79"/>
      <c r="AJ40" s="55"/>
    </row>
    <row r="41" spans="2:38" ht="16.5" thickBot="1" x14ac:dyDescent="0.3">
      <c r="B41" s="39" t="s">
        <v>72</v>
      </c>
      <c r="C41" s="67"/>
      <c r="D41" s="51">
        <v>350</v>
      </c>
      <c r="E41" s="51"/>
      <c r="F41" s="51"/>
      <c r="G41" s="51">
        <f t="shared" ref="G41:G53" si="16">+D41+E41+F41</f>
        <v>350</v>
      </c>
      <c r="H41" s="52">
        <f t="shared" ref="H41:H53" si="17">+AF41</f>
        <v>583.57999999999993</v>
      </c>
      <c r="I41" s="76">
        <f t="shared" ref="I41:I53" si="18">H41/D41</f>
        <v>1.6673714285714283</v>
      </c>
      <c r="J41" s="52">
        <f t="shared" ref="J41:J53" si="19">+D41-H41</f>
        <v>-233.57999999999993</v>
      </c>
      <c r="K41" s="53"/>
      <c r="L41" s="72"/>
      <c r="M41" s="72">
        <v>34.64</v>
      </c>
      <c r="N41" s="72">
        <v>275.89</v>
      </c>
      <c r="O41" s="55">
        <f t="shared" ref="O41:O53" si="20">SUM(L41:N41)</f>
        <v>310.52999999999997</v>
      </c>
      <c r="P41" s="73"/>
      <c r="Q41" s="72"/>
      <c r="R41" s="72">
        <v>273.05</v>
      </c>
      <c r="S41" s="72"/>
      <c r="T41" s="55">
        <f t="shared" ref="T41:T53" si="21">SUM(Q41:S41)</f>
        <v>273.05</v>
      </c>
      <c r="U41" s="73"/>
      <c r="V41" s="72"/>
      <c r="W41" s="72"/>
      <c r="X41" s="72"/>
      <c r="Y41" s="55">
        <f t="shared" ref="Y41:Y53" si="22">SUM(V41:X41)</f>
        <v>0</v>
      </c>
      <c r="AA41" s="72"/>
      <c r="AB41" s="74"/>
      <c r="AC41" s="75"/>
      <c r="AD41" s="55">
        <f t="shared" si="5"/>
        <v>0</v>
      </c>
      <c r="AF41" s="55">
        <f t="shared" ref="AF41:AF53" si="23">+O41+T41</f>
        <v>583.57999999999993</v>
      </c>
      <c r="AH41" s="55">
        <f>1517.53-246-961</f>
        <v>310.52999999999997</v>
      </c>
      <c r="AJ41" s="55">
        <f t="shared" si="15"/>
        <v>273.04999999999995</v>
      </c>
    </row>
    <row r="42" spans="2:38" ht="16.5" thickBot="1" x14ac:dyDescent="0.3">
      <c r="B42" s="39" t="s">
        <v>73</v>
      </c>
      <c r="C42" s="67"/>
      <c r="D42" s="51">
        <v>32600</v>
      </c>
      <c r="E42" s="51"/>
      <c r="F42" s="51"/>
      <c r="G42" s="51">
        <f t="shared" si="16"/>
        <v>32600</v>
      </c>
      <c r="H42" s="52">
        <f t="shared" si="17"/>
        <v>16949.62</v>
      </c>
      <c r="I42" s="42">
        <f t="shared" si="18"/>
        <v>0.51992699386503061</v>
      </c>
      <c r="J42" s="52">
        <f t="shared" si="19"/>
        <v>15650.380000000001</v>
      </c>
      <c r="K42" s="53"/>
      <c r="L42" s="54">
        <v>4449.62</v>
      </c>
      <c r="M42" s="54">
        <v>2500</v>
      </c>
      <c r="N42" s="54">
        <v>2500</v>
      </c>
      <c r="O42" s="55">
        <f t="shared" si="20"/>
        <v>9449.619999999999</v>
      </c>
      <c r="P42" s="46"/>
      <c r="Q42" s="54">
        <v>2500</v>
      </c>
      <c r="R42" s="72">
        <v>2500</v>
      </c>
      <c r="S42" s="54">
        <v>2500</v>
      </c>
      <c r="T42" s="55">
        <f t="shared" si="21"/>
        <v>7500</v>
      </c>
      <c r="U42" s="66"/>
      <c r="V42" s="54"/>
      <c r="W42" s="54"/>
      <c r="X42" s="54"/>
      <c r="Y42" s="55">
        <f t="shared" si="22"/>
        <v>0</v>
      </c>
      <c r="AA42" s="54"/>
      <c r="AB42" s="70"/>
      <c r="AC42" s="71"/>
      <c r="AD42" s="55">
        <f t="shared" si="5"/>
        <v>0</v>
      </c>
      <c r="AF42" s="55">
        <f t="shared" si="23"/>
        <v>16949.62</v>
      </c>
      <c r="AH42" s="55">
        <v>11949.62</v>
      </c>
      <c r="AJ42" s="55">
        <f t="shared" si="15"/>
        <v>4999.9999999999982</v>
      </c>
    </row>
    <row r="43" spans="2:38" ht="16.5" thickBot="1" x14ac:dyDescent="0.3">
      <c r="B43" s="39" t="s">
        <v>74</v>
      </c>
      <c r="C43" s="67"/>
      <c r="D43" s="51">
        <v>13800</v>
      </c>
      <c r="E43" s="51"/>
      <c r="F43" s="51"/>
      <c r="G43" s="51">
        <f t="shared" si="16"/>
        <v>13800</v>
      </c>
      <c r="H43" s="52">
        <f t="shared" si="17"/>
        <v>7103.2999999999993</v>
      </c>
      <c r="I43" s="42">
        <f t="shared" si="18"/>
        <v>0.51473188405797099</v>
      </c>
      <c r="J43" s="52">
        <f t="shared" si="19"/>
        <v>6696.7000000000007</v>
      </c>
      <c r="K43" s="53"/>
      <c r="L43" s="72">
        <f>882.09+242.47</f>
        <v>1124.56</v>
      </c>
      <c r="M43" s="72">
        <f>530.88</f>
        <v>530.88</v>
      </c>
      <c r="N43" s="72">
        <f>1714.41+540.88</f>
        <v>2255.29</v>
      </c>
      <c r="O43" s="55">
        <f t="shared" si="20"/>
        <v>3910.73</v>
      </c>
      <c r="P43" s="73"/>
      <c r="Q43" s="72">
        <v>475.86</v>
      </c>
      <c r="R43" s="72">
        <f>205.86</f>
        <v>205.86</v>
      </c>
      <c r="S43" s="72">
        <f>1457.81+1053.04</f>
        <v>2510.85</v>
      </c>
      <c r="T43" s="55">
        <f t="shared" si="21"/>
        <v>3192.5699999999997</v>
      </c>
      <c r="U43" s="73"/>
      <c r="V43" s="72"/>
      <c r="W43" s="72"/>
      <c r="X43" s="72"/>
      <c r="Y43" s="55">
        <f t="shared" si="22"/>
        <v>0</v>
      </c>
      <c r="AA43" s="72"/>
      <c r="AB43" s="74"/>
      <c r="AC43" s="75"/>
      <c r="AD43" s="55">
        <f t="shared" si="5"/>
        <v>0</v>
      </c>
      <c r="AF43" s="55">
        <f t="shared" si="23"/>
        <v>7103.2999999999993</v>
      </c>
      <c r="AH43" s="55">
        <f>2596.5+1790.09</f>
        <v>4386.59</v>
      </c>
      <c r="AJ43" s="55">
        <f t="shared" si="15"/>
        <v>2716.7099999999991</v>
      </c>
      <c r="AL43" s="82"/>
    </row>
    <row r="44" spans="2:38" ht="16.5" thickBot="1" x14ac:dyDescent="0.3">
      <c r="B44" s="39" t="s">
        <v>75</v>
      </c>
      <c r="C44" s="67"/>
      <c r="D44" s="51">
        <v>4500</v>
      </c>
      <c r="E44" s="51"/>
      <c r="F44" s="51"/>
      <c r="G44" s="51">
        <f t="shared" si="16"/>
        <v>4500</v>
      </c>
      <c r="H44" s="52">
        <f t="shared" si="17"/>
        <v>2749.91</v>
      </c>
      <c r="I44" s="42">
        <f t="shared" si="18"/>
        <v>0.61109111111111103</v>
      </c>
      <c r="J44" s="52">
        <f t="shared" si="19"/>
        <v>1750.0900000000001</v>
      </c>
      <c r="K44" s="53"/>
      <c r="L44" s="72">
        <f>538.61+300</f>
        <v>838.61</v>
      </c>
      <c r="M44" s="72">
        <f>581.26</f>
        <v>581.26</v>
      </c>
      <c r="N44" s="72">
        <v>472.52</v>
      </c>
      <c r="O44" s="55">
        <f t="shared" si="20"/>
        <v>1892.3899999999999</v>
      </c>
      <c r="P44" s="73"/>
      <c r="Q44" s="72">
        <f>507.52</f>
        <v>507.52</v>
      </c>
      <c r="R44" s="72"/>
      <c r="S44" s="72">
        <v>350</v>
      </c>
      <c r="T44" s="55">
        <f t="shared" si="21"/>
        <v>857.52</v>
      </c>
      <c r="U44" s="73"/>
      <c r="V44" s="72"/>
      <c r="W44" s="72"/>
      <c r="X44" s="72"/>
      <c r="Y44" s="55">
        <f t="shared" si="22"/>
        <v>0</v>
      </c>
      <c r="AA44" s="72"/>
      <c r="AB44" s="74"/>
      <c r="AC44" s="75"/>
      <c r="AD44" s="55">
        <f t="shared" si="5"/>
        <v>0</v>
      </c>
      <c r="AF44" s="55">
        <f t="shared" si="23"/>
        <v>2749.91</v>
      </c>
      <c r="AH44" s="55">
        <f>300+1592.39</f>
        <v>1892.39</v>
      </c>
      <c r="AJ44" s="55">
        <f t="shared" si="15"/>
        <v>857.51999999999975</v>
      </c>
    </row>
    <row r="45" spans="2:38" ht="16.5" thickBot="1" x14ac:dyDescent="0.3">
      <c r="B45" s="39" t="s">
        <v>76</v>
      </c>
      <c r="C45" s="67"/>
      <c r="D45" s="51">
        <v>6500</v>
      </c>
      <c r="E45" s="51"/>
      <c r="F45" s="51"/>
      <c r="G45" s="51">
        <f t="shared" si="16"/>
        <v>6500</v>
      </c>
      <c r="H45" s="52">
        <f t="shared" si="17"/>
        <v>6225.34</v>
      </c>
      <c r="I45" s="76">
        <f t="shared" si="18"/>
        <v>0.95774461538461542</v>
      </c>
      <c r="J45" s="52">
        <f t="shared" si="19"/>
        <v>274.65999999999985</v>
      </c>
      <c r="K45" s="53"/>
      <c r="L45" s="72">
        <f>499.91</f>
        <v>499.91</v>
      </c>
      <c r="M45" s="72">
        <f>155.5</f>
        <v>155.5</v>
      </c>
      <c r="N45" s="72">
        <f>160.68-229.98</f>
        <v>-69.299999999999983</v>
      </c>
      <c r="O45" s="55">
        <f t="shared" si="20"/>
        <v>586.11000000000013</v>
      </c>
      <c r="P45" s="73"/>
      <c r="Q45" s="72">
        <f>1961.23+280</f>
        <v>2241.23</v>
      </c>
      <c r="R45" s="72">
        <f>160.68+521.06</f>
        <v>681.74</v>
      </c>
      <c r="S45" s="72">
        <f>2052.15+664.11</f>
        <v>2716.26</v>
      </c>
      <c r="T45" s="55">
        <f t="shared" si="21"/>
        <v>5639.2300000000005</v>
      </c>
      <c r="U45" s="73"/>
      <c r="V45" s="72"/>
      <c r="W45" s="72"/>
      <c r="X45" s="72"/>
      <c r="Y45" s="55">
        <f t="shared" si="22"/>
        <v>0</v>
      </c>
      <c r="AA45" s="72"/>
      <c r="AB45" s="74"/>
      <c r="AC45" s="75"/>
      <c r="AD45" s="55">
        <f t="shared" si="5"/>
        <v>0</v>
      </c>
      <c r="AF45" s="55">
        <f t="shared" si="23"/>
        <v>6225.34</v>
      </c>
      <c r="AH45" s="55">
        <f>2777.32+50.02</f>
        <v>2827.34</v>
      </c>
      <c r="AJ45" s="55">
        <f t="shared" si="15"/>
        <v>3398</v>
      </c>
    </row>
    <row r="46" spans="2:38" ht="16.5" thickBot="1" x14ac:dyDescent="0.3">
      <c r="B46" s="39" t="s">
        <v>77</v>
      </c>
      <c r="C46" s="67"/>
      <c r="D46" s="51">
        <v>744</v>
      </c>
      <c r="E46" s="51"/>
      <c r="F46" s="51"/>
      <c r="G46" s="51">
        <f t="shared" si="16"/>
        <v>744</v>
      </c>
      <c r="H46" s="52">
        <f t="shared" si="17"/>
        <v>100.11999999999999</v>
      </c>
      <c r="I46" s="42">
        <f t="shared" si="18"/>
        <v>0.13456989247311826</v>
      </c>
      <c r="J46" s="52">
        <f t="shared" si="19"/>
        <v>643.88</v>
      </c>
      <c r="K46" s="53"/>
      <c r="L46" s="72">
        <v>7.65</v>
      </c>
      <c r="M46" s="72">
        <v>22</v>
      </c>
      <c r="N46" s="72">
        <v>15.54</v>
      </c>
      <c r="O46" s="55">
        <f t="shared" si="20"/>
        <v>45.19</v>
      </c>
      <c r="P46" s="73"/>
      <c r="Q46" s="72">
        <v>11.77</v>
      </c>
      <c r="R46" s="72"/>
      <c r="S46" s="72">
        <v>43.16</v>
      </c>
      <c r="T46" s="55">
        <f t="shared" si="21"/>
        <v>54.929999999999993</v>
      </c>
      <c r="U46" s="73"/>
      <c r="V46" s="72"/>
      <c r="W46" s="72"/>
      <c r="X46" s="72"/>
      <c r="Y46" s="55">
        <f t="shared" si="22"/>
        <v>0</v>
      </c>
      <c r="AA46" s="72"/>
      <c r="AB46" s="74"/>
      <c r="AC46" s="75"/>
      <c r="AD46" s="55">
        <f t="shared" si="5"/>
        <v>0</v>
      </c>
      <c r="AF46" s="55">
        <f t="shared" si="23"/>
        <v>100.11999999999999</v>
      </c>
      <c r="AH46" s="55">
        <v>56.96</v>
      </c>
      <c r="AJ46" s="55">
        <f t="shared" si="15"/>
        <v>43.159999999999989</v>
      </c>
    </row>
    <row r="47" spans="2:38" ht="16.5" thickBot="1" x14ac:dyDescent="0.3">
      <c r="B47" s="39" t="s">
        <v>78</v>
      </c>
      <c r="C47" s="67"/>
      <c r="D47" s="51">
        <v>12000</v>
      </c>
      <c r="E47" s="51"/>
      <c r="F47" s="51"/>
      <c r="G47" s="51">
        <f t="shared" si="16"/>
        <v>12000</v>
      </c>
      <c r="H47" s="52">
        <f t="shared" si="17"/>
        <v>2800</v>
      </c>
      <c r="I47" s="42">
        <f t="shared" si="18"/>
        <v>0.23333333333333334</v>
      </c>
      <c r="J47" s="52">
        <f t="shared" si="19"/>
        <v>9200</v>
      </c>
      <c r="K47" s="53"/>
      <c r="L47" s="72">
        <v>2240</v>
      </c>
      <c r="M47" s="72"/>
      <c r="N47" s="72">
        <v>560</v>
      </c>
      <c r="O47" s="55">
        <f t="shared" si="20"/>
        <v>2800</v>
      </c>
      <c r="P47" s="73"/>
      <c r="Q47" s="72"/>
      <c r="R47" s="72"/>
      <c r="S47" s="72"/>
      <c r="T47" s="55">
        <f t="shared" si="21"/>
        <v>0</v>
      </c>
      <c r="U47" s="73"/>
      <c r="V47" s="72"/>
      <c r="W47" s="72"/>
      <c r="X47" s="72"/>
      <c r="Y47" s="55">
        <f t="shared" si="22"/>
        <v>0</v>
      </c>
      <c r="AA47" s="72"/>
      <c r="AB47" s="74"/>
      <c r="AC47" s="75"/>
      <c r="AD47" s="55">
        <f t="shared" si="5"/>
        <v>0</v>
      </c>
      <c r="AF47" s="55">
        <f t="shared" si="23"/>
        <v>2800</v>
      </c>
      <c r="AH47" s="55">
        <v>2800</v>
      </c>
      <c r="AJ47" s="55">
        <f t="shared" si="15"/>
        <v>0</v>
      </c>
    </row>
    <row r="48" spans="2:38" ht="16.5" thickBot="1" x14ac:dyDescent="0.3">
      <c r="B48" s="39" t="s">
        <v>79</v>
      </c>
      <c r="C48" s="67"/>
      <c r="D48" s="51">
        <v>9750</v>
      </c>
      <c r="E48" s="51"/>
      <c r="F48" s="51"/>
      <c r="G48" s="51">
        <f t="shared" si="16"/>
        <v>9750</v>
      </c>
      <c r="H48" s="52">
        <f t="shared" si="17"/>
        <v>1646.71</v>
      </c>
      <c r="I48" s="42">
        <f t="shared" si="18"/>
        <v>0.16889333333333334</v>
      </c>
      <c r="J48" s="52">
        <f t="shared" si="19"/>
        <v>8103.29</v>
      </c>
      <c r="K48" s="53"/>
      <c r="L48" s="72">
        <v>200</v>
      </c>
      <c r="M48" s="72">
        <v>712.75</v>
      </c>
      <c r="N48" s="72">
        <v>427.57</v>
      </c>
      <c r="O48" s="55">
        <f t="shared" si="20"/>
        <v>1340.32</v>
      </c>
      <c r="P48" s="73"/>
      <c r="Q48" s="72">
        <v>189.21</v>
      </c>
      <c r="R48" s="72">
        <v>12</v>
      </c>
      <c r="S48" s="72">
        <v>105.18</v>
      </c>
      <c r="T48" s="55">
        <f t="shared" si="21"/>
        <v>306.39</v>
      </c>
      <c r="U48" s="73"/>
      <c r="V48" s="72"/>
      <c r="W48" s="72"/>
      <c r="X48" s="72"/>
      <c r="Y48" s="55">
        <f t="shared" si="22"/>
        <v>0</v>
      </c>
      <c r="AA48" s="72"/>
      <c r="AB48" s="74"/>
      <c r="AC48" s="75"/>
      <c r="AD48" s="55">
        <f t="shared" si="5"/>
        <v>0</v>
      </c>
      <c r="AF48" s="55">
        <f t="shared" si="23"/>
        <v>1646.71</v>
      </c>
      <c r="AH48" s="55">
        <v>1529.53</v>
      </c>
      <c r="AJ48" s="55">
        <f t="shared" si="15"/>
        <v>117.18000000000006</v>
      </c>
    </row>
    <row r="49" spans="1:36" ht="16.5" thickBot="1" x14ac:dyDescent="0.3">
      <c r="B49" s="39" t="s">
        <v>80</v>
      </c>
      <c r="C49" s="67"/>
      <c r="D49" s="51">
        <v>5300</v>
      </c>
      <c r="E49" s="51"/>
      <c r="F49" s="51"/>
      <c r="G49" s="51">
        <f t="shared" si="16"/>
        <v>5300</v>
      </c>
      <c r="H49" s="52">
        <f t="shared" si="17"/>
        <v>2924.54</v>
      </c>
      <c r="I49" s="42">
        <f t="shared" si="18"/>
        <v>0.55179999999999996</v>
      </c>
      <c r="J49" s="52">
        <f t="shared" si="19"/>
        <v>2375.46</v>
      </c>
      <c r="K49" s="53"/>
      <c r="L49" s="72">
        <f>75.92+255.3</f>
        <v>331.22</v>
      </c>
      <c r="M49" s="72">
        <f>679+78+5.3</f>
        <v>762.3</v>
      </c>
      <c r="N49" s="72">
        <f>754.83+78+500+6.4</f>
        <v>1339.23</v>
      </c>
      <c r="O49" s="55">
        <f t="shared" si="20"/>
        <v>2432.75</v>
      </c>
      <c r="P49" s="73"/>
      <c r="Q49" s="72">
        <f>78+50+4.9</f>
        <v>132.9</v>
      </c>
      <c r="R49" s="72">
        <f>78+42.9</f>
        <v>120.9</v>
      </c>
      <c r="S49" s="72">
        <f>38+78+250-128.01</f>
        <v>237.99</v>
      </c>
      <c r="T49" s="55">
        <f t="shared" si="21"/>
        <v>491.79</v>
      </c>
      <c r="U49" s="73"/>
      <c r="V49" s="72"/>
      <c r="W49" s="72"/>
      <c r="X49" s="72"/>
      <c r="Y49" s="55">
        <f t="shared" si="22"/>
        <v>0</v>
      </c>
      <c r="AA49" s="72"/>
      <c r="AB49" s="74"/>
      <c r="AC49" s="75"/>
      <c r="AD49" s="55">
        <f t="shared" si="5"/>
        <v>0</v>
      </c>
      <c r="AF49" s="55">
        <f t="shared" si="23"/>
        <v>2924.54</v>
      </c>
      <c r="AH49" s="55">
        <f>1433.83+309.92+550+2099.91+271.9-1592.39</f>
        <v>3073.1699999999992</v>
      </c>
      <c r="AJ49" s="55">
        <f t="shared" si="15"/>
        <v>-148.6299999999992</v>
      </c>
    </row>
    <row r="50" spans="1:36" ht="16.5" thickBot="1" x14ac:dyDescent="0.3">
      <c r="B50" s="39" t="s">
        <v>81</v>
      </c>
      <c r="C50" s="67"/>
      <c r="D50" s="51">
        <v>5000</v>
      </c>
      <c r="E50" s="51"/>
      <c r="F50" s="51"/>
      <c r="G50" s="51">
        <f t="shared" si="16"/>
        <v>5000</v>
      </c>
      <c r="H50" s="52">
        <f t="shared" si="17"/>
        <v>1629.32</v>
      </c>
      <c r="I50" s="42">
        <f t="shared" si="18"/>
        <v>0.32586399999999999</v>
      </c>
      <c r="J50" s="52">
        <f t="shared" si="19"/>
        <v>3370.6800000000003</v>
      </c>
      <c r="K50" s="53"/>
      <c r="L50" s="72"/>
      <c r="M50" s="72"/>
      <c r="N50" s="72"/>
      <c r="O50" s="55">
        <f t="shared" si="20"/>
        <v>0</v>
      </c>
      <c r="P50" s="73"/>
      <c r="Q50" s="72"/>
      <c r="R50" s="72"/>
      <c r="S50" s="72">
        <v>1629.32</v>
      </c>
      <c r="T50" s="55">
        <f t="shared" si="21"/>
        <v>1629.32</v>
      </c>
      <c r="U50" s="73"/>
      <c r="V50" s="72"/>
      <c r="W50" s="72"/>
      <c r="X50" s="72"/>
      <c r="Y50" s="55">
        <f t="shared" si="22"/>
        <v>0</v>
      </c>
      <c r="AA50" s="72"/>
      <c r="AB50" s="74"/>
      <c r="AC50" s="75"/>
      <c r="AD50" s="55">
        <f t="shared" si="5"/>
        <v>0</v>
      </c>
      <c r="AF50" s="55">
        <f t="shared" si="23"/>
        <v>1629.32</v>
      </c>
      <c r="AH50" s="55"/>
      <c r="AJ50" s="55">
        <f t="shared" si="15"/>
        <v>1629.32</v>
      </c>
    </row>
    <row r="51" spans="1:36" ht="16.5" thickBot="1" x14ac:dyDescent="0.3">
      <c r="B51" s="39" t="s">
        <v>82</v>
      </c>
      <c r="C51" s="67"/>
      <c r="D51" s="51">
        <v>3000</v>
      </c>
      <c r="E51" s="51"/>
      <c r="F51" s="51"/>
      <c r="G51" s="51">
        <f t="shared" si="16"/>
        <v>3000</v>
      </c>
      <c r="H51" s="52">
        <f t="shared" si="17"/>
        <v>1862.1100000000001</v>
      </c>
      <c r="I51" s="42">
        <f t="shared" si="18"/>
        <v>0.62070333333333338</v>
      </c>
      <c r="J51" s="52">
        <f t="shared" si="19"/>
        <v>1137.8899999999999</v>
      </c>
      <c r="K51" s="53"/>
      <c r="L51" s="72"/>
      <c r="M51" s="72">
        <v>944.07</v>
      </c>
      <c r="N51" s="72">
        <v>278.70999999999998</v>
      </c>
      <c r="O51" s="55">
        <f t="shared" si="20"/>
        <v>1222.78</v>
      </c>
      <c r="P51" s="73"/>
      <c r="Q51" s="72">
        <v>230</v>
      </c>
      <c r="R51" s="72">
        <v>309.23</v>
      </c>
      <c r="S51" s="72">
        <v>100.1</v>
      </c>
      <c r="T51" s="55">
        <f t="shared" si="21"/>
        <v>639.33000000000004</v>
      </c>
      <c r="U51" s="73"/>
      <c r="V51" s="72"/>
      <c r="W51" s="72"/>
      <c r="X51" s="72"/>
      <c r="Y51" s="55">
        <f t="shared" si="22"/>
        <v>0</v>
      </c>
      <c r="AA51" s="72"/>
      <c r="AB51" s="74"/>
      <c r="AC51" s="75"/>
      <c r="AD51" s="55">
        <f t="shared" si="5"/>
        <v>0</v>
      </c>
      <c r="AF51" s="55">
        <f t="shared" si="23"/>
        <v>1862.1100000000001</v>
      </c>
      <c r="AH51" s="55">
        <v>1452.78</v>
      </c>
      <c r="AJ51" s="55">
        <f t="shared" si="15"/>
        <v>409.33000000000015</v>
      </c>
    </row>
    <row r="52" spans="1:36" ht="16.5" thickBot="1" x14ac:dyDescent="0.3">
      <c r="B52" s="39" t="s">
        <v>83</v>
      </c>
      <c r="C52" s="67"/>
      <c r="D52" s="51">
        <v>10850</v>
      </c>
      <c r="E52" s="51"/>
      <c r="F52" s="51"/>
      <c r="G52" s="51">
        <f t="shared" si="16"/>
        <v>10850</v>
      </c>
      <c r="H52" s="52">
        <f t="shared" si="17"/>
        <v>4917.0599999999995</v>
      </c>
      <c r="I52" s="42">
        <f t="shared" si="18"/>
        <v>0.45318525345622113</v>
      </c>
      <c r="J52" s="52">
        <f t="shared" si="19"/>
        <v>5932.9400000000005</v>
      </c>
      <c r="K52" s="53"/>
      <c r="L52" s="72">
        <v>730.45</v>
      </c>
      <c r="M52" s="72">
        <v>1076.99</v>
      </c>
      <c r="N52" s="72">
        <v>832.36</v>
      </c>
      <c r="O52" s="55">
        <f>SUM(L52:N52)</f>
        <v>2639.8</v>
      </c>
      <c r="P52" s="73"/>
      <c r="Q52" s="72">
        <v>1067.29</v>
      </c>
      <c r="R52" s="72">
        <v>487.83</v>
      </c>
      <c r="S52" s="72">
        <v>722.14</v>
      </c>
      <c r="T52" s="55">
        <f>SUM(Q52:S52)</f>
        <v>2277.2599999999998</v>
      </c>
      <c r="U52" s="73"/>
      <c r="V52" s="72"/>
      <c r="W52" s="72"/>
      <c r="X52" s="72"/>
      <c r="Y52" s="55">
        <f>SUM(V52:X52)</f>
        <v>0</v>
      </c>
      <c r="AA52" s="72"/>
      <c r="AB52" s="74"/>
      <c r="AC52" s="75"/>
      <c r="AD52" s="55">
        <f>SUM(AA52:AC52)</f>
        <v>0</v>
      </c>
      <c r="AF52" s="55">
        <f t="shared" si="23"/>
        <v>4917.0599999999995</v>
      </c>
      <c r="AH52" s="55">
        <v>3707.09</v>
      </c>
      <c r="AJ52" s="55">
        <f t="shared" si="15"/>
        <v>1209.9699999999993</v>
      </c>
    </row>
    <row r="53" spans="1:36" ht="16.5" thickBot="1" x14ac:dyDescent="0.3">
      <c r="B53" s="39" t="s">
        <v>84</v>
      </c>
      <c r="C53" s="67"/>
      <c r="D53" s="51">
        <v>50150</v>
      </c>
      <c r="E53" s="51"/>
      <c r="F53" s="51"/>
      <c r="G53" s="51">
        <f t="shared" si="16"/>
        <v>50150</v>
      </c>
      <c r="H53" s="52">
        <f t="shared" si="17"/>
        <v>41150</v>
      </c>
      <c r="I53" s="42">
        <f t="shared" si="18"/>
        <v>0.8205383848454636</v>
      </c>
      <c r="J53" s="52">
        <f t="shared" si="19"/>
        <v>9000</v>
      </c>
      <c r="K53" s="53"/>
      <c r="L53" s="54">
        <v>10150</v>
      </c>
      <c r="M53" s="54">
        <v>10500</v>
      </c>
      <c r="N53" s="54">
        <v>10000</v>
      </c>
      <c r="O53" s="55">
        <f t="shared" si="20"/>
        <v>30650</v>
      </c>
      <c r="P53" s="46"/>
      <c r="Q53" s="54"/>
      <c r="R53" s="54">
        <v>4500</v>
      </c>
      <c r="S53" s="54">
        <v>6000</v>
      </c>
      <c r="T53" s="55">
        <f t="shared" si="21"/>
        <v>10500</v>
      </c>
      <c r="U53" s="66"/>
      <c r="V53" s="54"/>
      <c r="W53" s="54"/>
      <c r="X53" s="54"/>
      <c r="Y53" s="55">
        <f t="shared" si="22"/>
        <v>0</v>
      </c>
      <c r="AA53" s="54"/>
      <c r="AB53" s="70"/>
      <c r="AC53" s="71"/>
      <c r="AD53" s="55">
        <f t="shared" si="5"/>
        <v>0</v>
      </c>
      <c r="AF53" s="55">
        <f t="shared" si="23"/>
        <v>41150</v>
      </c>
      <c r="AH53" s="55">
        <v>30650</v>
      </c>
      <c r="AJ53" s="55">
        <f t="shared" si="15"/>
        <v>10500</v>
      </c>
    </row>
    <row r="54" spans="1:36" ht="21" customHeight="1" thickBot="1" x14ac:dyDescent="0.3">
      <c r="B54" s="83" t="s">
        <v>85</v>
      </c>
      <c r="C54" s="84"/>
      <c r="D54" s="85">
        <f>SUM(D4:D53)</f>
        <v>1963084.0899999999</v>
      </c>
      <c r="E54" s="85">
        <f>SUM(E4:E53)</f>
        <v>0</v>
      </c>
      <c r="F54" s="85">
        <f>SUM(F4:F53)</f>
        <v>0</v>
      </c>
      <c r="G54" s="85">
        <f>SUM(G4:G53)</f>
        <v>1963084.0899999999</v>
      </c>
      <c r="H54" s="85">
        <f>SUM(H4:H53)</f>
        <v>896277.56738634396</v>
      </c>
      <c r="I54" s="86">
        <f>H54/D54</f>
        <v>0.45656605947346046</v>
      </c>
      <c r="J54" s="85">
        <f>SUM(J4:J53)</f>
        <v>1066806.522613656</v>
      </c>
      <c r="K54" s="87"/>
      <c r="L54" s="88">
        <f>SUM(L4:L53)</f>
        <v>147073.657186344</v>
      </c>
      <c r="M54" s="89">
        <f>SUM(M4:M53)</f>
        <v>161308.28854000004</v>
      </c>
      <c r="N54" s="90">
        <f>SUM(N4:N53)</f>
        <v>153097.80853000007</v>
      </c>
      <c r="O54" s="91">
        <f>SUM(O4:O53)</f>
        <v>461479.75425634405</v>
      </c>
      <c r="P54" s="92"/>
      <c r="Q54" s="88">
        <f>SUM(Q4:Q53)</f>
        <v>138112.96099999995</v>
      </c>
      <c r="R54" s="89">
        <f>SUM(R4:R53)</f>
        <v>125018.08208200001</v>
      </c>
      <c r="S54" s="93">
        <f>SUM(S4:S53)</f>
        <v>171666.77004800003</v>
      </c>
      <c r="T54" s="91">
        <f>SUM(T4:T53)</f>
        <v>434797.81312999997</v>
      </c>
      <c r="U54" s="57"/>
      <c r="V54" s="88">
        <f>SUM(V4:V53)</f>
        <v>0</v>
      </c>
      <c r="W54" s="88">
        <f>SUM(W4:W53)</f>
        <v>0</v>
      </c>
      <c r="X54" s="90">
        <f>SUM(X4:X53)</f>
        <v>0</v>
      </c>
      <c r="Y54" s="91">
        <f>SUM(Y4:Y53)</f>
        <v>0</v>
      </c>
      <c r="Z54" s="57"/>
      <c r="AA54" s="88">
        <f>SUM(AA4:AA53)</f>
        <v>0</v>
      </c>
      <c r="AB54" s="89">
        <f>SUM(AB4:AB53)</f>
        <v>0</v>
      </c>
      <c r="AC54" s="93">
        <f>SUM(AC4:AC53)</f>
        <v>0</v>
      </c>
      <c r="AD54" s="91">
        <f>SUM(AD4:AD53)</f>
        <v>0</v>
      </c>
      <c r="AE54" s="57"/>
      <c r="AF54" s="91">
        <f>SUM(AF4:AF53)</f>
        <v>896277.56738634396</v>
      </c>
      <c r="AH54" s="91">
        <f>SUM(AH4:AH53)</f>
        <v>610369.53</v>
      </c>
      <c r="AJ54" s="91">
        <f>SUM(AJ4:AJ53)</f>
        <v>285908.03738634387</v>
      </c>
    </row>
    <row r="55" spans="1:36" s="95" customFormat="1" ht="12.75" hidden="1" x14ac:dyDescent="0.2">
      <c r="A55" s="94"/>
      <c r="H55" s="47"/>
      <c r="I55" s="96"/>
      <c r="J55" s="97"/>
      <c r="K55" s="97"/>
      <c r="L55" s="98">
        <v>147073.78</v>
      </c>
      <c r="M55" s="98">
        <v>160016.57</v>
      </c>
      <c r="N55" s="98">
        <v>153097.85</v>
      </c>
      <c r="O55" s="99"/>
      <c r="P55" s="99"/>
      <c r="Q55" s="100">
        <v>138543.59</v>
      </c>
      <c r="R55" s="100">
        <v>125448.69</v>
      </c>
      <c r="S55" s="100">
        <v>172097.39</v>
      </c>
      <c r="T55" s="47"/>
      <c r="U55" s="47"/>
      <c r="V55" s="47"/>
      <c r="AF55" s="100">
        <v>724180.47999999998</v>
      </c>
      <c r="AH55" s="100">
        <v>598116.88</v>
      </c>
      <c r="AJ55" s="46"/>
    </row>
    <row r="56" spans="1:36" s="102" customFormat="1" hidden="1" x14ac:dyDescent="0.25">
      <c r="A56" s="101"/>
      <c r="H56" s="103"/>
      <c r="I56" s="104"/>
      <c r="J56" s="105"/>
      <c r="K56" s="105"/>
      <c r="L56" s="106">
        <f>+L54-L55</f>
        <v>-0.12281365599483252</v>
      </c>
      <c r="M56" s="106">
        <f>+M54-M55</f>
        <v>1291.7185400000308</v>
      </c>
      <c r="N56" s="106">
        <f>+N54-N55</f>
        <v>-4.146999993827194E-2</v>
      </c>
      <c r="O56" s="107"/>
      <c r="P56" s="107"/>
      <c r="Q56" s="106">
        <f>+Q54-Q55</f>
        <v>-430.62900000004447</v>
      </c>
      <c r="R56" s="106">
        <f>+R54-R55</f>
        <v>-430.60791799999424</v>
      </c>
      <c r="S56" s="106">
        <f>+S54-S55</f>
        <v>-430.61995199997909</v>
      </c>
      <c r="T56" s="103"/>
      <c r="U56" s="103"/>
      <c r="V56" s="103"/>
      <c r="AF56" s="106">
        <f>+AF54-AF55</f>
        <v>172097.08738634398</v>
      </c>
      <c r="AH56" s="106">
        <f>+AH54-AH55</f>
        <v>12252.650000000023</v>
      </c>
      <c r="AJ56" s="107"/>
    </row>
    <row r="57" spans="1:36" x14ac:dyDescent="0.25">
      <c r="O57" s="178">
        <f>+O54/G54</f>
        <v>0.23507895388034247</v>
      </c>
      <c r="T57" s="179">
        <f>+T54/G54</f>
        <v>0.22148710559311802</v>
      </c>
    </row>
    <row r="60" spans="1:36" x14ac:dyDescent="0.25">
      <c r="Q60" s="113"/>
      <c r="R60" s="113"/>
      <c r="S60" s="113"/>
    </row>
    <row r="61" spans="1:36" x14ac:dyDescent="0.25">
      <c r="S61" s="111"/>
    </row>
  </sheetData>
  <mergeCells count="3">
    <mergeCell ref="D1:J1"/>
    <mergeCell ref="D2:J2"/>
    <mergeCell ref="L2:A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AFC00-50C5-F941-A8AC-08F140A85311}">
  <dimension ref="A1:X46"/>
  <sheetViews>
    <sheetView zoomScale="120" zoomScaleNormal="12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D35" sqref="D35"/>
    </sheetView>
  </sheetViews>
  <sheetFormatPr defaultColWidth="11" defaultRowHeight="15.75" x14ac:dyDescent="0.25"/>
  <cols>
    <col min="1" max="1" width="31.125" customWidth="1"/>
    <col min="2" max="2" width="15" bestFit="1" customWidth="1"/>
    <col min="3" max="3" width="14" bestFit="1" customWidth="1"/>
    <col min="4" max="4" width="11.125" bestFit="1" customWidth="1"/>
    <col min="5" max="5" width="14" bestFit="1" customWidth="1"/>
    <col min="6" max="6" width="1.875" customWidth="1"/>
    <col min="7" max="9" width="12.5" hidden="1" customWidth="1"/>
    <col min="10" max="10" width="12.5" bestFit="1" customWidth="1"/>
    <col min="11" max="12" width="12.5" customWidth="1"/>
    <col min="13" max="13" width="11.5" hidden="1" customWidth="1"/>
    <col min="14" max="14" width="14" hidden="1" customWidth="1"/>
    <col min="15" max="18" width="12.5" hidden="1" customWidth="1"/>
    <col min="19" max="19" width="1.875" customWidth="1"/>
    <col min="20" max="21" width="14" bestFit="1" customWidth="1"/>
    <col min="22" max="22" width="7.625" bestFit="1" customWidth="1"/>
    <col min="23" max="23" width="14" bestFit="1" customWidth="1"/>
    <col min="24" max="24" width="2.5" customWidth="1"/>
  </cols>
  <sheetData>
    <row r="1" spans="1:24" ht="21" thickBot="1" x14ac:dyDescent="0.35">
      <c r="A1" s="114" t="s">
        <v>86</v>
      </c>
      <c r="B1" s="115"/>
      <c r="C1" s="116" t="s">
        <v>87</v>
      </c>
      <c r="D1" s="117"/>
      <c r="E1" s="117"/>
      <c r="F1" s="20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T1" s="118" t="s">
        <v>87</v>
      </c>
      <c r="U1" s="118" t="s">
        <v>87</v>
      </c>
      <c r="V1" s="119" t="s">
        <v>87</v>
      </c>
      <c r="W1" s="120" t="s">
        <v>87</v>
      </c>
    </row>
    <row r="2" spans="1:24" ht="23.25" thickBot="1" x14ac:dyDescent="0.35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3"/>
    </row>
    <row r="3" spans="1:24" ht="30.75" thickBot="1" x14ac:dyDescent="0.35">
      <c r="A3" s="121" t="s">
        <v>88</v>
      </c>
      <c r="B3" s="122"/>
      <c r="C3" s="123" t="s">
        <v>89</v>
      </c>
      <c r="D3" s="124" t="s">
        <v>10</v>
      </c>
      <c r="E3" s="125" t="s">
        <v>12</v>
      </c>
      <c r="F3" s="126"/>
      <c r="G3" s="127">
        <v>44396</v>
      </c>
      <c r="H3" s="127">
        <v>44427</v>
      </c>
      <c r="I3" s="127">
        <v>44458</v>
      </c>
      <c r="J3" s="127">
        <v>44488</v>
      </c>
      <c r="K3" s="127">
        <v>44519</v>
      </c>
      <c r="L3" s="127">
        <v>44549</v>
      </c>
      <c r="M3" s="127">
        <v>44581</v>
      </c>
      <c r="N3" s="127">
        <v>44612</v>
      </c>
      <c r="O3" s="127">
        <v>44640</v>
      </c>
      <c r="P3" s="127">
        <v>44671</v>
      </c>
      <c r="Q3" s="127">
        <v>44701</v>
      </c>
      <c r="R3" s="128">
        <v>44732</v>
      </c>
      <c r="T3" s="129" t="s">
        <v>90</v>
      </c>
      <c r="U3" s="123" t="s">
        <v>91</v>
      </c>
      <c r="V3" s="130" t="s">
        <v>92</v>
      </c>
      <c r="W3" s="131" t="s">
        <v>93</v>
      </c>
    </row>
    <row r="4" spans="1:24" ht="16.5" thickBot="1" x14ac:dyDescent="0.3">
      <c r="A4" s="132" t="s">
        <v>94</v>
      </c>
      <c r="B4" s="133"/>
      <c r="C4" s="133" t="s">
        <v>87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T4" s="134" t="s">
        <v>87</v>
      </c>
      <c r="U4" s="134" t="s">
        <v>87</v>
      </c>
      <c r="V4" s="134" t="s">
        <v>87</v>
      </c>
      <c r="W4" s="135" t="s">
        <v>87</v>
      </c>
    </row>
    <row r="5" spans="1:24" x14ac:dyDescent="0.25">
      <c r="A5" s="136" t="s">
        <v>95</v>
      </c>
      <c r="B5" s="137"/>
      <c r="C5" s="138">
        <v>49980</v>
      </c>
      <c r="D5" s="138"/>
      <c r="E5" s="138">
        <f>+C5+D5</f>
        <v>49980</v>
      </c>
      <c r="F5" s="117"/>
      <c r="G5" s="139">
        <v>49980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40"/>
      <c r="T5" s="141">
        <f>SUM(G5:S5)</f>
        <v>49980</v>
      </c>
      <c r="U5" s="142"/>
      <c r="V5" s="143">
        <f t="shared" ref="V5:V13" si="0">SUM(T5:U5)/C5</f>
        <v>1</v>
      </c>
      <c r="W5" s="144">
        <f t="shared" ref="W5:W12" si="1">+E5-T5-U5</f>
        <v>0</v>
      </c>
    </row>
    <row r="6" spans="1:24" x14ac:dyDescent="0.25">
      <c r="A6" s="136" t="s">
        <v>96</v>
      </c>
      <c r="B6" s="137"/>
      <c r="C6" s="138">
        <v>43164</v>
      </c>
      <c r="D6" s="138"/>
      <c r="E6" s="138">
        <f t="shared" ref="E6:E12" si="2">+C6+D64</f>
        <v>43164</v>
      </c>
      <c r="F6" s="117"/>
      <c r="G6" s="145">
        <v>43164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6"/>
      <c r="T6" s="147">
        <f t="shared" ref="T6:T12" si="3">SUM(G6:S6)</f>
        <v>43164</v>
      </c>
      <c r="U6" s="148"/>
      <c r="V6" s="143">
        <f t="shared" si="0"/>
        <v>1</v>
      </c>
      <c r="W6" s="144">
        <f t="shared" si="1"/>
        <v>0</v>
      </c>
    </row>
    <row r="7" spans="1:24" x14ac:dyDescent="0.25">
      <c r="A7" s="136" t="s">
        <v>97</v>
      </c>
      <c r="B7" s="137"/>
      <c r="C7" s="138">
        <v>7208</v>
      </c>
      <c r="D7" s="138"/>
      <c r="E7" s="138">
        <f t="shared" si="2"/>
        <v>7208</v>
      </c>
      <c r="F7" s="117"/>
      <c r="G7" s="145"/>
      <c r="H7" s="145">
        <v>7208</v>
      </c>
      <c r="I7" s="145"/>
      <c r="J7" s="145"/>
      <c r="K7" s="145"/>
      <c r="L7" s="145"/>
      <c r="M7" s="145"/>
      <c r="N7" s="145"/>
      <c r="O7" s="145"/>
      <c r="P7" s="145"/>
      <c r="Q7" s="145"/>
      <c r="R7" s="146"/>
      <c r="T7" s="147">
        <f t="shared" si="3"/>
        <v>7208</v>
      </c>
      <c r="U7" s="148"/>
      <c r="V7" s="143">
        <f t="shared" si="0"/>
        <v>1</v>
      </c>
      <c r="W7" s="144">
        <f t="shared" si="1"/>
        <v>0</v>
      </c>
    </row>
    <row r="8" spans="1:24" x14ac:dyDescent="0.25">
      <c r="A8" s="136" t="s">
        <v>98</v>
      </c>
      <c r="B8" s="137"/>
      <c r="C8" s="138">
        <v>1124</v>
      </c>
      <c r="D8" s="138"/>
      <c r="E8" s="138">
        <f t="shared" si="2"/>
        <v>1124</v>
      </c>
      <c r="F8" s="117"/>
      <c r="G8" s="145"/>
      <c r="H8" s="145"/>
      <c r="I8" s="145"/>
      <c r="J8" s="145"/>
      <c r="K8" s="145"/>
      <c r="L8" s="145">
        <v>1124</v>
      </c>
      <c r="M8" s="145"/>
      <c r="N8" s="145"/>
      <c r="O8" s="145"/>
      <c r="P8" s="145"/>
      <c r="Q8" s="145"/>
      <c r="R8" s="146"/>
      <c r="T8" s="147">
        <f t="shared" si="3"/>
        <v>1124</v>
      </c>
      <c r="U8" s="148"/>
      <c r="V8" s="143">
        <f t="shared" si="0"/>
        <v>1</v>
      </c>
      <c r="W8" s="144">
        <f t="shared" si="1"/>
        <v>0</v>
      </c>
    </row>
    <row r="9" spans="1:24" x14ac:dyDescent="0.25">
      <c r="A9" s="136" t="s">
        <v>99</v>
      </c>
      <c r="B9" s="137"/>
      <c r="C9" s="138">
        <v>843</v>
      </c>
      <c r="D9" s="138"/>
      <c r="E9" s="138">
        <f t="shared" si="2"/>
        <v>843</v>
      </c>
      <c r="F9" s="110"/>
      <c r="G9" s="149">
        <v>843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0"/>
      <c r="T9" s="147">
        <f t="shared" si="3"/>
        <v>843</v>
      </c>
      <c r="U9" s="148"/>
      <c r="V9" s="143">
        <f t="shared" si="0"/>
        <v>1</v>
      </c>
      <c r="W9" s="144">
        <f t="shared" si="1"/>
        <v>0</v>
      </c>
    </row>
    <row r="10" spans="1:24" x14ac:dyDescent="0.25">
      <c r="A10" s="136" t="s">
        <v>100</v>
      </c>
      <c r="B10" s="137"/>
      <c r="C10" s="138">
        <v>4680</v>
      </c>
      <c r="D10" s="138"/>
      <c r="E10" s="138">
        <f t="shared" si="2"/>
        <v>4680</v>
      </c>
      <c r="F10" s="110"/>
      <c r="G10" s="149"/>
      <c r="H10" s="149">
        <v>4680</v>
      </c>
      <c r="I10" s="149"/>
      <c r="J10" s="149"/>
      <c r="K10" s="149"/>
      <c r="L10" s="149"/>
      <c r="M10" s="149"/>
      <c r="N10" s="149"/>
      <c r="O10" s="149"/>
      <c r="P10" s="149"/>
      <c r="Q10" s="149"/>
      <c r="R10" s="150"/>
      <c r="T10" s="147">
        <f t="shared" si="3"/>
        <v>4680</v>
      </c>
      <c r="U10" s="148"/>
      <c r="V10" s="143">
        <f t="shared" si="0"/>
        <v>1</v>
      </c>
      <c r="W10" s="144">
        <f t="shared" si="1"/>
        <v>0</v>
      </c>
    </row>
    <row r="11" spans="1:24" x14ac:dyDescent="0.25">
      <c r="A11" s="136" t="s">
        <v>101</v>
      </c>
      <c r="B11" s="137"/>
      <c r="C11" s="138">
        <v>732</v>
      </c>
      <c r="D11" s="138"/>
      <c r="E11" s="138">
        <f t="shared" si="2"/>
        <v>732</v>
      </c>
      <c r="F11" s="110"/>
      <c r="G11" s="149"/>
      <c r="H11" s="149"/>
      <c r="I11" s="149"/>
      <c r="J11" s="149">
        <v>732</v>
      </c>
      <c r="K11" s="149"/>
      <c r="L11" s="149"/>
      <c r="M11" s="149"/>
      <c r="N11" s="149"/>
      <c r="O11" s="149"/>
      <c r="P11" s="149"/>
      <c r="Q11" s="149"/>
      <c r="R11" s="150"/>
      <c r="T11" s="147">
        <f t="shared" si="3"/>
        <v>732</v>
      </c>
      <c r="U11" s="151"/>
      <c r="V11" s="143">
        <f t="shared" si="0"/>
        <v>1</v>
      </c>
      <c r="W11" s="144">
        <f t="shared" si="1"/>
        <v>0</v>
      </c>
    </row>
    <row r="12" spans="1:24" ht="16.5" thickBot="1" x14ac:dyDescent="0.3">
      <c r="A12" s="136" t="s">
        <v>102</v>
      </c>
      <c r="B12" s="137"/>
      <c r="C12" s="138">
        <v>229</v>
      </c>
      <c r="D12" s="138"/>
      <c r="E12" s="138">
        <f t="shared" si="2"/>
        <v>229</v>
      </c>
      <c r="F12" s="110"/>
      <c r="G12" s="149">
        <v>229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50"/>
      <c r="T12" s="147">
        <f t="shared" si="3"/>
        <v>229</v>
      </c>
      <c r="U12" s="151"/>
      <c r="V12" s="143">
        <f t="shared" si="0"/>
        <v>1</v>
      </c>
      <c r="W12" s="144">
        <f t="shared" si="1"/>
        <v>0</v>
      </c>
    </row>
    <row r="13" spans="1:24" ht="16.5" thickBot="1" x14ac:dyDescent="0.3">
      <c r="A13" s="152" t="s">
        <v>103</v>
      </c>
      <c r="B13" s="153"/>
      <c r="C13" s="154">
        <f>SUM(C5:C12)</f>
        <v>107960</v>
      </c>
      <c r="D13" s="154">
        <f>SUM(D5:D12)</f>
        <v>0</v>
      </c>
      <c r="E13" s="154">
        <f>SUM(E5:E12)</f>
        <v>107960</v>
      </c>
      <c r="F13" s="155"/>
      <c r="G13" s="154">
        <f t="shared" ref="G13:R13" si="4">SUM(G5:G12)</f>
        <v>94216</v>
      </c>
      <c r="H13" s="154">
        <f t="shared" si="4"/>
        <v>11888</v>
      </c>
      <c r="I13" s="154">
        <f t="shared" si="4"/>
        <v>0</v>
      </c>
      <c r="J13" s="154">
        <f t="shared" si="4"/>
        <v>732</v>
      </c>
      <c r="K13" s="154">
        <f t="shared" si="4"/>
        <v>0</v>
      </c>
      <c r="L13" s="154">
        <f t="shared" si="4"/>
        <v>1124</v>
      </c>
      <c r="M13" s="154">
        <f t="shared" si="4"/>
        <v>0</v>
      </c>
      <c r="N13" s="154">
        <f t="shared" si="4"/>
        <v>0</v>
      </c>
      <c r="O13" s="154">
        <f t="shared" si="4"/>
        <v>0</v>
      </c>
      <c r="P13" s="154">
        <f t="shared" si="4"/>
        <v>0</v>
      </c>
      <c r="Q13" s="154">
        <f t="shared" si="4"/>
        <v>0</v>
      </c>
      <c r="R13" s="156">
        <f t="shared" si="4"/>
        <v>0</v>
      </c>
      <c r="T13" s="157">
        <f>SUM(T5:T12)</f>
        <v>107960</v>
      </c>
      <c r="U13" s="158">
        <f>SUM(U5:U12)</f>
        <v>0</v>
      </c>
      <c r="V13" s="159">
        <f t="shared" si="0"/>
        <v>1</v>
      </c>
      <c r="W13" s="156">
        <f>SUM(W5:W12)</f>
        <v>0</v>
      </c>
    </row>
    <row r="14" spans="1:24" ht="16.5" thickBot="1" x14ac:dyDescent="0.3">
      <c r="A14" s="132" t="s">
        <v>104</v>
      </c>
      <c r="B14" s="133"/>
      <c r="C14" s="133" t="s">
        <v>87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T14" s="133" t="s">
        <v>87</v>
      </c>
      <c r="U14" s="160" t="s">
        <v>87</v>
      </c>
      <c r="V14" s="160"/>
      <c r="W14" s="161"/>
    </row>
    <row r="15" spans="1:24" x14ac:dyDescent="0.25">
      <c r="A15" s="136" t="s">
        <v>105</v>
      </c>
      <c r="B15" s="137" t="s">
        <v>106</v>
      </c>
      <c r="C15" s="138">
        <v>628000</v>
      </c>
      <c r="D15" s="138"/>
      <c r="E15" s="138">
        <f>+C15+D15</f>
        <v>628000</v>
      </c>
      <c r="F15" s="110"/>
      <c r="G15" s="149"/>
      <c r="H15" s="149">
        <v>138160</v>
      </c>
      <c r="I15" s="149">
        <v>44530.91</v>
      </c>
      <c r="J15" s="149">
        <v>44530.91</v>
      </c>
      <c r="K15" s="149">
        <v>44530.91</v>
      </c>
      <c r="L15" s="149">
        <v>44530.91</v>
      </c>
      <c r="M15" s="149"/>
      <c r="N15" s="149"/>
      <c r="O15" s="149"/>
      <c r="P15" s="149"/>
      <c r="Q15" s="149"/>
      <c r="R15" s="150"/>
      <c r="T15" s="147">
        <f>SUM(G15:S15)</f>
        <v>316283.64</v>
      </c>
      <c r="U15" s="151"/>
      <c r="V15" s="143">
        <f>SUM(T15:U15)/E15</f>
        <v>0.50363636942675161</v>
      </c>
      <c r="W15" s="144">
        <f>+E15-T15-U15</f>
        <v>311716.36</v>
      </c>
      <c r="X15" t="s">
        <v>107</v>
      </c>
    </row>
    <row r="16" spans="1:24" x14ac:dyDescent="0.25">
      <c r="A16" s="136" t="s">
        <v>108</v>
      </c>
      <c r="B16" s="137"/>
      <c r="C16" s="138">
        <v>8000</v>
      </c>
      <c r="D16" s="138">
        <v>-8000</v>
      </c>
      <c r="E16" s="138">
        <f>+C16+D16</f>
        <v>0</v>
      </c>
      <c r="F16" s="110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50"/>
      <c r="T16" s="147">
        <f>SUM(G16:S16)</f>
        <v>0</v>
      </c>
      <c r="U16" s="151"/>
      <c r="V16" s="143">
        <v>0</v>
      </c>
      <c r="W16" s="144">
        <f>+E16-T16-U16</f>
        <v>0</v>
      </c>
    </row>
    <row r="17" spans="1:24" x14ac:dyDescent="0.25">
      <c r="A17" s="136" t="s">
        <v>109</v>
      </c>
      <c r="B17" s="137" t="s">
        <v>110</v>
      </c>
      <c r="C17" s="138">
        <f>204048.5</f>
        <v>204048.5</v>
      </c>
      <c r="D17" s="138"/>
      <c r="E17" s="138">
        <f>+C17+D17</f>
        <v>204048.5</v>
      </c>
      <c r="F17" s="110"/>
      <c r="G17" s="149">
        <f>49606.69+19310.35</f>
        <v>68917.040000000008</v>
      </c>
      <c r="H17" s="149"/>
      <c r="I17" s="149">
        <f>77418.75+56959.95</f>
        <v>134378.70000000001</v>
      </c>
      <c r="J17" s="149"/>
      <c r="K17" s="149"/>
      <c r="L17" s="149"/>
      <c r="M17" s="149"/>
      <c r="N17" s="149"/>
      <c r="O17" s="149"/>
      <c r="P17" s="149"/>
      <c r="Q17" s="149"/>
      <c r="R17" s="150"/>
      <c r="T17" s="147">
        <f>SUM(G17:S17)</f>
        <v>203295.74000000002</v>
      </c>
      <c r="U17" s="151"/>
      <c r="V17" s="143">
        <f>SUM(T17:U17)/E17</f>
        <v>0.99631087707089261</v>
      </c>
      <c r="W17" s="144">
        <f>+E17-T17-U17</f>
        <v>752.75999999998021</v>
      </c>
      <c r="X17" t="s">
        <v>111</v>
      </c>
    </row>
    <row r="18" spans="1:24" x14ac:dyDescent="0.25">
      <c r="A18" s="136" t="s">
        <v>112</v>
      </c>
      <c r="B18" s="137" t="s">
        <v>113</v>
      </c>
      <c r="C18" s="138">
        <f>753273.73</f>
        <v>753273.73</v>
      </c>
      <c r="D18" s="138"/>
      <c r="E18" s="138">
        <f>+C18+D18</f>
        <v>753273.73</v>
      </c>
      <c r="F18" s="110"/>
      <c r="G18" s="149"/>
      <c r="H18" s="149"/>
      <c r="I18" s="149"/>
      <c r="J18" s="149">
        <v>67957.89</v>
      </c>
      <c r="K18" s="149">
        <v>105285.73</v>
      </c>
      <c r="L18" s="149">
        <f>18804.34+48538.22</f>
        <v>67342.559999999998</v>
      </c>
      <c r="M18" s="149"/>
      <c r="N18" s="149"/>
      <c r="O18" s="149"/>
      <c r="P18" s="149"/>
      <c r="Q18" s="149"/>
      <c r="R18" s="150"/>
      <c r="T18" s="147">
        <f>SUM(G18:S18)</f>
        <v>240586.18</v>
      </c>
      <c r="U18" s="151"/>
      <c r="V18" s="143">
        <f>SUM(T18:U18)/E18</f>
        <v>0.31938745560660931</v>
      </c>
      <c r="W18" s="144">
        <f>+E18-T18-U18</f>
        <v>512687.55</v>
      </c>
      <c r="X18" t="s">
        <v>107</v>
      </c>
    </row>
    <row r="19" spans="1:24" ht="16.5" thickBot="1" x14ac:dyDescent="0.3">
      <c r="A19" s="136" t="s">
        <v>114</v>
      </c>
      <c r="B19" s="137"/>
      <c r="C19" s="138">
        <v>29321</v>
      </c>
      <c r="D19" s="138"/>
      <c r="E19" s="138">
        <f>+C19+D19</f>
        <v>29321</v>
      </c>
      <c r="F19" s="110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0"/>
      <c r="T19" s="147">
        <f>SUM(G19:S19)</f>
        <v>0</v>
      </c>
      <c r="U19" s="151"/>
      <c r="V19" s="143">
        <f>SUM(T19:U19)/E19</f>
        <v>0</v>
      </c>
      <c r="W19" s="144">
        <f>+E19-T19-U19</f>
        <v>29321</v>
      </c>
    </row>
    <row r="20" spans="1:24" ht="16.5" thickBot="1" x14ac:dyDescent="0.3">
      <c r="A20" s="152" t="s">
        <v>115</v>
      </c>
      <c r="B20" s="153"/>
      <c r="C20" s="154">
        <f>SUM(C15:C19)</f>
        <v>1622643.23</v>
      </c>
      <c r="D20" s="154">
        <f>SUM(D15:D19)</f>
        <v>-8000</v>
      </c>
      <c r="E20" s="154">
        <f>SUM(E15:E19)</f>
        <v>1614643.23</v>
      </c>
      <c r="F20" s="105"/>
      <c r="G20" s="154">
        <f t="shared" ref="G20:R20" si="5">SUM(G15:G19)</f>
        <v>68917.040000000008</v>
      </c>
      <c r="H20" s="154">
        <f t="shared" si="5"/>
        <v>138160</v>
      </c>
      <c r="I20" s="154">
        <f t="shared" si="5"/>
        <v>178909.61000000002</v>
      </c>
      <c r="J20" s="154">
        <f t="shared" si="5"/>
        <v>112488.8</v>
      </c>
      <c r="K20" s="154">
        <f t="shared" si="5"/>
        <v>149816.64000000001</v>
      </c>
      <c r="L20" s="154">
        <f t="shared" si="5"/>
        <v>111873.47</v>
      </c>
      <c r="M20" s="154">
        <f t="shared" si="5"/>
        <v>0</v>
      </c>
      <c r="N20" s="154">
        <f t="shared" si="5"/>
        <v>0</v>
      </c>
      <c r="O20" s="154">
        <f t="shared" si="5"/>
        <v>0</v>
      </c>
      <c r="P20" s="154">
        <f t="shared" si="5"/>
        <v>0</v>
      </c>
      <c r="Q20" s="154">
        <f t="shared" si="5"/>
        <v>0</v>
      </c>
      <c r="R20" s="156">
        <f t="shared" si="5"/>
        <v>0</v>
      </c>
      <c r="T20" s="162">
        <f>SUM(T15:T19)</f>
        <v>760165.56</v>
      </c>
      <c r="U20" s="158">
        <f>SUM(U15:U19)</f>
        <v>0</v>
      </c>
      <c r="V20" s="159">
        <f>SUM(T20:U20)/C20</f>
        <v>0.46847362744058041</v>
      </c>
      <c r="W20" s="156">
        <f>SUM(W15:W19)</f>
        <v>854477.66999999993</v>
      </c>
    </row>
    <row r="21" spans="1:24" ht="16.5" thickBot="1" x14ac:dyDescent="0.3">
      <c r="A21" s="163" t="s">
        <v>116</v>
      </c>
      <c r="B21" s="160"/>
      <c r="C21" s="160" t="s">
        <v>87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T21" s="160" t="s">
        <v>87</v>
      </c>
      <c r="U21" s="160" t="s">
        <v>87</v>
      </c>
      <c r="V21" s="160"/>
      <c r="W21" s="161"/>
    </row>
    <row r="22" spans="1:24" x14ac:dyDescent="0.25">
      <c r="A22" s="136" t="s">
        <v>117</v>
      </c>
      <c r="B22" s="137"/>
      <c r="C22" s="138">
        <v>90000</v>
      </c>
      <c r="D22" s="138"/>
      <c r="E22" s="138">
        <f>+C22+D22</f>
        <v>90000</v>
      </c>
      <c r="F22" s="117"/>
      <c r="G22" s="164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0"/>
      <c r="T22" s="147">
        <f t="shared" ref="T22:T27" si="6">SUM(G22:S22)</f>
        <v>0</v>
      </c>
      <c r="U22" s="151"/>
      <c r="V22" s="143">
        <f t="shared" ref="V22:V27" si="7">SUM(T22:U22)/E22</f>
        <v>0</v>
      </c>
      <c r="W22" s="144">
        <f t="shared" ref="W22:W27" si="8">+E22-T22-U22</f>
        <v>90000</v>
      </c>
    </row>
    <row r="23" spans="1:24" x14ac:dyDescent="0.25">
      <c r="A23" s="136" t="s">
        <v>118</v>
      </c>
      <c r="B23" s="137"/>
      <c r="C23" s="138">
        <v>44040</v>
      </c>
      <c r="D23" s="138"/>
      <c r="E23" s="138">
        <f>+C23+D81</f>
        <v>44040</v>
      </c>
      <c r="F23" s="117"/>
      <c r="G23" s="165">
        <v>2743.12</v>
      </c>
      <c r="H23" s="145">
        <v>3829.4</v>
      </c>
      <c r="I23" s="145">
        <v>3600.65</v>
      </c>
      <c r="J23" s="145">
        <v>3145.51</v>
      </c>
      <c r="K23" s="145">
        <v>3295.24</v>
      </c>
      <c r="L23" s="145">
        <v>2929.18</v>
      </c>
      <c r="M23" s="145"/>
      <c r="N23" s="145"/>
      <c r="O23" s="145"/>
      <c r="P23" s="145"/>
      <c r="Q23" s="145"/>
      <c r="R23" s="146"/>
      <c r="T23" s="147">
        <f t="shared" si="6"/>
        <v>19543.099999999999</v>
      </c>
      <c r="U23" s="151"/>
      <c r="V23" s="143">
        <f t="shared" si="7"/>
        <v>0.44375794732061757</v>
      </c>
      <c r="W23" s="144">
        <f t="shared" si="8"/>
        <v>24496.9</v>
      </c>
    </row>
    <row r="24" spans="1:24" x14ac:dyDescent="0.25">
      <c r="A24" s="136" t="s">
        <v>119</v>
      </c>
      <c r="B24" s="137"/>
      <c r="C24" s="138"/>
      <c r="D24" s="138"/>
      <c r="E24" s="138">
        <f>+C24+D81</f>
        <v>0</v>
      </c>
      <c r="F24" s="117"/>
      <c r="G24" s="165"/>
      <c r="H24" s="145"/>
      <c r="I24" s="145"/>
      <c r="J24" s="145">
        <v>1818.75</v>
      </c>
      <c r="K24" s="145">
        <v>900</v>
      </c>
      <c r="L24" s="145">
        <v>993.75</v>
      </c>
      <c r="M24" s="145"/>
      <c r="N24" s="145"/>
      <c r="O24" s="145"/>
      <c r="P24" s="145"/>
      <c r="Q24" s="145"/>
      <c r="R24" s="146"/>
      <c r="T24" s="147">
        <f t="shared" si="6"/>
        <v>3712.5</v>
      </c>
      <c r="U24" s="151"/>
      <c r="V24" s="143" t="e">
        <f t="shared" si="7"/>
        <v>#DIV/0!</v>
      </c>
      <c r="W24" s="144">
        <f t="shared" si="8"/>
        <v>-3712.5</v>
      </c>
    </row>
    <row r="25" spans="1:24" x14ac:dyDescent="0.25">
      <c r="A25" s="136" t="s">
        <v>120</v>
      </c>
      <c r="B25" s="137"/>
      <c r="C25" s="138">
        <v>8000</v>
      </c>
      <c r="D25" s="138"/>
      <c r="E25" s="138">
        <f>+C25+D82</f>
        <v>8000</v>
      </c>
      <c r="F25" s="117"/>
      <c r="G25" s="16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6"/>
      <c r="T25" s="147">
        <f t="shared" si="6"/>
        <v>0</v>
      </c>
      <c r="U25" s="151"/>
      <c r="V25" s="143">
        <f t="shared" si="7"/>
        <v>0</v>
      </c>
      <c r="W25" s="144">
        <f t="shared" si="8"/>
        <v>8000</v>
      </c>
    </row>
    <row r="26" spans="1:24" x14ac:dyDescent="0.25">
      <c r="A26" s="136" t="s">
        <v>121</v>
      </c>
      <c r="B26" s="137"/>
      <c r="C26" s="138">
        <v>37500</v>
      </c>
      <c r="D26" s="138"/>
      <c r="E26" s="138">
        <f>+C26+D83</f>
        <v>37500</v>
      </c>
      <c r="F26" s="117"/>
      <c r="G26" s="165"/>
      <c r="H26" s="145"/>
      <c r="I26" s="145">
        <f>4166.67+4166.67+4166.67</f>
        <v>12500.01</v>
      </c>
      <c r="J26" s="145">
        <v>4166.67</v>
      </c>
      <c r="K26" s="145"/>
      <c r="L26" s="145"/>
      <c r="M26" s="145"/>
      <c r="N26" s="145"/>
      <c r="O26" s="145"/>
      <c r="P26" s="145"/>
      <c r="Q26" s="145"/>
      <c r="R26" s="146"/>
      <c r="T26" s="147">
        <f t="shared" si="6"/>
        <v>16666.68</v>
      </c>
      <c r="U26" s="166">
        <v>4166.67</v>
      </c>
      <c r="V26" s="143">
        <f t="shared" si="7"/>
        <v>0.55555599999999994</v>
      </c>
      <c r="W26" s="144">
        <f t="shared" si="8"/>
        <v>16666.650000000001</v>
      </c>
      <c r="X26" t="s">
        <v>107</v>
      </c>
    </row>
    <row r="27" spans="1:24" ht="16.5" thickBot="1" x14ac:dyDescent="0.3">
      <c r="A27" s="136" t="s">
        <v>130</v>
      </c>
      <c r="B27" s="137"/>
      <c r="C27" s="138"/>
      <c r="D27" s="138"/>
      <c r="E27" s="138">
        <f>+C27+D82</f>
        <v>0</v>
      </c>
      <c r="F27" s="117"/>
      <c r="G27" s="165"/>
      <c r="H27" s="145"/>
      <c r="I27" s="145"/>
      <c r="J27" s="145"/>
      <c r="K27" s="145"/>
      <c r="L27" s="145">
        <v>30000</v>
      </c>
      <c r="M27" s="145"/>
      <c r="N27" s="145"/>
      <c r="O27" s="145"/>
      <c r="P27" s="145"/>
      <c r="Q27" s="145"/>
      <c r="R27" s="146"/>
      <c r="T27" s="147">
        <f t="shared" si="6"/>
        <v>30000</v>
      </c>
      <c r="U27" s="151"/>
      <c r="V27" s="143" t="e">
        <f t="shared" si="7"/>
        <v>#DIV/0!</v>
      </c>
      <c r="W27" s="144">
        <f t="shared" si="8"/>
        <v>-30000</v>
      </c>
    </row>
    <row r="28" spans="1:24" ht="16.5" thickBot="1" x14ac:dyDescent="0.3">
      <c r="A28" s="152" t="s">
        <v>115</v>
      </c>
      <c r="B28" s="153"/>
      <c r="C28" s="154">
        <f>SUM(C22:C27)</f>
        <v>179540</v>
      </c>
      <c r="D28" s="154">
        <f>SUM(D22:D27)</f>
        <v>0</v>
      </c>
      <c r="E28" s="154">
        <f>SUM(E22:E27)</f>
        <v>179540</v>
      </c>
      <c r="F28" s="105"/>
      <c r="G28" s="158">
        <f t="shared" ref="G28:R28" si="9">SUM(G22:G27)</f>
        <v>2743.12</v>
      </c>
      <c r="H28" s="154">
        <f t="shared" si="9"/>
        <v>3829.4</v>
      </c>
      <c r="I28" s="154">
        <f t="shared" si="9"/>
        <v>16100.66</v>
      </c>
      <c r="J28" s="154">
        <f t="shared" si="9"/>
        <v>9130.93</v>
      </c>
      <c r="K28" s="154">
        <f t="shared" si="9"/>
        <v>4195.24</v>
      </c>
      <c r="L28" s="154">
        <f t="shared" si="9"/>
        <v>33922.93</v>
      </c>
      <c r="M28" s="154">
        <f t="shared" si="9"/>
        <v>0</v>
      </c>
      <c r="N28" s="154">
        <f t="shared" si="9"/>
        <v>0</v>
      </c>
      <c r="O28" s="154">
        <f t="shared" si="9"/>
        <v>0</v>
      </c>
      <c r="P28" s="154">
        <f t="shared" si="9"/>
        <v>0</v>
      </c>
      <c r="Q28" s="154">
        <f t="shared" si="9"/>
        <v>0</v>
      </c>
      <c r="R28" s="156">
        <f t="shared" si="9"/>
        <v>0</v>
      </c>
      <c r="T28" s="162">
        <f>SUM(T22:T27)</f>
        <v>69922.28</v>
      </c>
      <c r="U28" s="158">
        <f>SUM(U22:U27)</f>
        <v>4166.67</v>
      </c>
      <c r="V28" s="159">
        <f>SUM(T28:U28)/C28</f>
        <v>0.41265985295755819</v>
      </c>
      <c r="W28" s="162">
        <f>SUM(W22:W27)</f>
        <v>105451.04999999999</v>
      </c>
    </row>
    <row r="29" spans="1:24" ht="16.5" thickBot="1" x14ac:dyDescent="0.3">
      <c r="A29" s="167" t="s">
        <v>122</v>
      </c>
      <c r="B29" s="168"/>
      <c r="C29" s="169">
        <f>+C13+C20+C28</f>
        <v>1910143.23</v>
      </c>
      <c r="D29" s="169">
        <f>+D13+D20+D28</f>
        <v>-8000</v>
      </c>
      <c r="E29" s="169">
        <f>+E13+E20+E28</f>
        <v>1902143.23</v>
      </c>
      <c r="F29" s="105"/>
      <c r="G29" s="158">
        <f t="shared" ref="G29:R29" si="10">+G13+G20+G28</f>
        <v>165876.16</v>
      </c>
      <c r="H29" s="169">
        <f t="shared" si="10"/>
        <v>153877.4</v>
      </c>
      <c r="I29" s="169">
        <f t="shared" si="10"/>
        <v>195010.27000000002</v>
      </c>
      <c r="J29" s="169">
        <f t="shared" si="10"/>
        <v>122351.73000000001</v>
      </c>
      <c r="K29" s="169">
        <f t="shared" si="10"/>
        <v>154011.88</v>
      </c>
      <c r="L29" s="169">
        <f t="shared" si="10"/>
        <v>146920.4</v>
      </c>
      <c r="M29" s="169">
        <f t="shared" si="10"/>
        <v>0</v>
      </c>
      <c r="N29" s="169">
        <f t="shared" si="10"/>
        <v>0</v>
      </c>
      <c r="O29" s="169">
        <f t="shared" si="10"/>
        <v>0</v>
      </c>
      <c r="P29" s="169">
        <f t="shared" si="10"/>
        <v>0</v>
      </c>
      <c r="Q29" s="169">
        <f t="shared" si="10"/>
        <v>0</v>
      </c>
      <c r="R29" s="170">
        <f t="shared" si="10"/>
        <v>0</v>
      </c>
      <c r="T29" s="162">
        <f>+T13+T20+T28</f>
        <v>938047.84000000008</v>
      </c>
      <c r="U29" s="158">
        <f>+U13+U20+U28</f>
        <v>4166.67</v>
      </c>
      <c r="V29" s="159">
        <f>SUM(T29:U29)/C29</f>
        <v>0.49326903616541895</v>
      </c>
      <c r="W29" s="162">
        <f>+W13+W20+W28</f>
        <v>959928.72</v>
      </c>
    </row>
    <row r="30" spans="1:24" ht="16.5" thickBot="1" x14ac:dyDescent="0.3">
      <c r="A30" s="20" t="s">
        <v>87</v>
      </c>
      <c r="B30" s="20"/>
      <c r="C30" s="20"/>
      <c r="D30" s="20"/>
      <c r="E30" s="20"/>
      <c r="F30" s="20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T30" s="117"/>
      <c r="U30" s="117"/>
      <c r="V30" s="20"/>
      <c r="W30" s="171"/>
    </row>
    <row r="31" spans="1:24" ht="16.5" thickBot="1" x14ac:dyDescent="0.3">
      <c r="A31" s="132" t="s">
        <v>123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T31" s="133"/>
      <c r="U31" s="133"/>
      <c r="V31" s="133"/>
      <c r="W31" s="172"/>
    </row>
    <row r="32" spans="1:24" x14ac:dyDescent="0.25">
      <c r="A32" s="136" t="s">
        <v>124</v>
      </c>
      <c r="B32" s="137" t="s">
        <v>125</v>
      </c>
      <c r="C32" s="138">
        <v>102900.13</v>
      </c>
      <c r="D32" s="138"/>
      <c r="E32" s="138">
        <f>+C32+D32</f>
        <v>102900.13</v>
      </c>
      <c r="F32" s="110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50"/>
      <c r="T32" s="147">
        <f>SUM(G32:S32)</f>
        <v>0</v>
      </c>
      <c r="U32" s="151"/>
      <c r="V32" s="143">
        <f>SUM(T32:U32)/E32</f>
        <v>0</v>
      </c>
      <c r="W32" s="144">
        <f>+E32-T32-U32</f>
        <v>102900.13</v>
      </c>
    </row>
    <row r="33" spans="1:23" x14ac:dyDescent="0.25">
      <c r="A33" s="136" t="s">
        <v>126</v>
      </c>
      <c r="B33" s="137" t="s">
        <v>125</v>
      </c>
      <c r="C33" s="138">
        <v>217103.05</v>
      </c>
      <c r="D33" s="138"/>
      <c r="E33" s="138">
        <f>+C33+D89</f>
        <v>217103.05</v>
      </c>
      <c r="F33" s="110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0"/>
      <c r="T33" s="147">
        <f>SUM(G33:S33)</f>
        <v>0</v>
      </c>
      <c r="U33" s="151"/>
      <c r="V33" s="143">
        <f>SUM(T33:U33)/E33</f>
        <v>0</v>
      </c>
      <c r="W33" s="144">
        <f>+E33-T33-U33</f>
        <v>217103.05</v>
      </c>
    </row>
    <row r="34" spans="1:23" x14ac:dyDescent="0.25">
      <c r="A34" s="136" t="s">
        <v>127</v>
      </c>
      <c r="B34" s="137" t="s">
        <v>125</v>
      </c>
      <c r="C34" s="138">
        <v>35004</v>
      </c>
      <c r="D34" s="138"/>
      <c r="E34" s="138">
        <f>+C34+D90</f>
        <v>35004</v>
      </c>
      <c r="F34" s="110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50"/>
      <c r="T34" s="147">
        <f>SUM(G34:S34)</f>
        <v>0</v>
      </c>
      <c r="U34" s="151"/>
      <c r="V34" s="143">
        <f>SUM(T34:U34)/E34</f>
        <v>0</v>
      </c>
      <c r="W34" s="144">
        <f>+E34-T34-U34</f>
        <v>35004</v>
      </c>
    </row>
    <row r="35" spans="1:23" x14ac:dyDescent="0.25">
      <c r="A35" s="136" t="s">
        <v>128</v>
      </c>
      <c r="B35" s="137" t="s">
        <v>125</v>
      </c>
      <c r="C35" s="138">
        <f>108000</f>
        <v>108000</v>
      </c>
      <c r="D35" s="138"/>
      <c r="E35" s="138">
        <f>+C35+D91</f>
        <v>108000</v>
      </c>
      <c r="F35" s="110"/>
      <c r="G35" s="149">
        <v>-2875.46</v>
      </c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50"/>
      <c r="T35" s="147">
        <f>SUM(G35:S35)</f>
        <v>-2875.46</v>
      </c>
      <c r="U35" s="151"/>
      <c r="V35" s="143">
        <f>SUM(T35:U35)/E35</f>
        <v>-2.662462962962963E-2</v>
      </c>
      <c r="W35" s="144">
        <f>+E35-T35-U35</f>
        <v>110875.46</v>
      </c>
    </row>
    <row r="36" spans="1:23" ht="16.5" thickBot="1" x14ac:dyDescent="0.3">
      <c r="A36" s="136" t="s">
        <v>129</v>
      </c>
      <c r="B36" s="137"/>
      <c r="C36" s="138">
        <v>27000</v>
      </c>
      <c r="D36" s="138"/>
      <c r="E36" s="138">
        <f>+C36+D92</f>
        <v>27000</v>
      </c>
      <c r="F36" s="110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50"/>
      <c r="T36" s="147">
        <f>SUM(G36:S36)</f>
        <v>0</v>
      </c>
      <c r="U36" s="151"/>
      <c r="V36" s="143">
        <f>SUM(T36:U36)/E36</f>
        <v>0</v>
      </c>
      <c r="W36" s="144">
        <f>+E36-T36-U36</f>
        <v>27000</v>
      </c>
    </row>
    <row r="37" spans="1:23" ht="16.5" thickBot="1" x14ac:dyDescent="0.3">
      <c r="A37" s="167" t="s">
        <v>122</v>
      </c>
      <c r="B37" s="168"/>
      <c r="C37" s="154">
        <f>SUM(C32:C36)+C29</f>
        <v>2400150.41</v>
      </c>
      <c r="D37" s="154">
        <f>SUM(D32:D36)+D29</f>
        <v>-8000</v>
      </c>
      <c r="E37" s="154">
        <f>SUM(E32:E36)+E29</f>
        <v>2392150.41</v>
      </c>
      <c r="F37" s="105"/>
      <c r="G37" s="154">
        <f t="shared" ref="G37:R37" si="11">SUM(G32:G36)+G29</f>
        <v>163000.70000000001</v>
      </c>
      <c r="H37" s="154">
        <f t="shared" si="11"/>
        <v>153877.4</v>
      </c>
      <c r="I37" s="154">
        <f t="shared" si="11"/>
        <v>195010.27000000002</v>
      </c>
      <c r="J37" s="154">
        <f t="shared" si="11"/>
        <v>122351.73000000001</v>
      </c>
      <c r="K37" s="154">
        <f t="shared" si="11"/>
        <v>154011.88</v>
      </c>
      <c r="L37" s="154">
        <f t="shared" si="11"/>
        <v>146920.4</v>
      </c>
      <c r="M37" s="154">
        <f t="shared" si="11"/>
        <v>0</v>
      </c>
      <c r="N37" s="154">
        <f t="shared" si="11"/>
        <v>0</v>
      </c>
      <c r="O37" s="154">
        <f t="shared" si="11"/>
        <v>0</v>
      </c>
      <c r="P37" s="154">
        <f t="shared" si="11"/>
        <v>0</v>
      </c>
      <c r="Q37" s="154">
        <f t="shared" si="11"/>
        <v>0</v>
      </c>
      <c r="R37" s="154">
        <f t="shared" si="11"/>
        <v>0</v>
      </c>
      <c r="T37" s="154">
        <f>SUM(T32:T36)+T29</f>
        <v>935172.38000000012</v>
      </c>
      <c r="U37" s="158">
        <f>SUM(U32:U36)+U29</f>
        <v>4166.67</v>
      </c>
      <c r="V37" s="173">
        <f>SUM(T37:U37)/C37</f>
        <v>0.39136674355337592</v>
      </c>
      <c r="W37" s="174">
        <f>SUM(W32:W36)+W29</f>
        <v>1452811.3599999999</v>
      </c>
    </row>
    <row r="38" spans="1:23" x14ac:dyDescent="0.25">
      <c r="J38" s="180">
        <f>+J37/E37</f>
        <v>5.1147172639533146E-2</v>
      </c>
      <c r="K38" s="180">
        <f>+K37/E37</f>
        <v>6.4382189078152491E-2</v>
      </c>
      <c r="L38" s="180">
        <f>+L37/E37</f>
        <v>6.1417709934050504E-2</v>
      </c>
    </row>
    <row r="40" spans="1:23" ht="16.5" hidden="1" thickBot="1" x14ac:dyDescent="0.3">
      <c r="A40" s="163" t="s">
        <v>131</v>
      </c>
      <c r="B40" s="160"/>
      <c r="C40" s="160" t="s">
        <v>87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T40" s="160" t="s">
        <v>87</v>
      </c>
      <c r="U40" s="160" t="s">
        <v>87</v>
      </c>
      <c r="V40" s="160"/>
      <c r="W40" s="161"/>
    </row>
    <row r="41" spans="1:23" hidden="1" x14ac:dyDescent="0.25">
      <c r="A41" s="136" t="s">
        <v>132</v>
      </c>
      <c r="B41" s="137"/>
      <c r="C41" s="138"/>
      <c r="D41" s="175"/>
      <c r="E41" s="175"/>
      <c r="F41" s="117"/>
      <c r="G41" s="164"/>
      <c r="H41" s="139">
        <v>450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T41" s="147">
        <f>SUM(G41:S41)</f>
        <v>450</v>
      </c>
      <c r="U41" s="151"/>
      <c r="V41" s="143"/>
      <c r="W41" s="144">
        <f>+T41</f>
        <v>450</v>
      </c>
    </row>
    <row r="42" spans="1:23" hidden="1" x14ac:dyDescent="0.25">
      <c r="A42" s="136" t="s">
        <v>133</v>
      </c>
      <c r="B42" s="137"/>
      <c r="C42" s="138"/>
      <c r="D42" s="175"/>
      <c r="E42" s="175"/>
      <c r="F42" s="110"/>
      <c r="G42" s="149">
        <v>7.0000000000000007E-2</v>
      </c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50"/>
      <c r="T42" s="147">
        <f>SUM(G42:S42)</f>
        <v>7.0000000000000007E-2</v>
      </c>
      <c r="U42" s="151"/>
      <c r="V42" s="143"/>
      <c r="W42" s="144">
        <f>+T42</f>
        <v>7.0000000000000007E-2</v>
      </c>
    </row>
    <row r="43" spans="1:23" hidden="1" x14ac:dyDescent="0.25">
      <c r="A43" s="136" t="s">
        <v>134</v>
      </c>
      <c r="B43" s="137"/>
      <c r="C43" s="138"/>
      <c r="D43" s="175"/>
      <c r="E43" s="175"/>
      <c r="F43" s="110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50"/>
      <c r="T43" s="147">
        <f>SUM(G43:S43)</f>
        <v>0</v>
      </c>
      <c r="U43" s="151"/>
      <c r="V43" s="143"/>
      <c r="W43" s="144">
        <f>+T43</f>
        <v>0</v>
      </c>
    </row>
    <row r="44" spans="1:23" hidden="1" x14ac:dyDescent="0.25">
      <c r="A44" s="136" t="s">
        <v>135</v>
      </c>
      <c r="B44" s="137"/>
      <c r="C44" s="138"/>
      <c r="D44" s="175"/>
      <c r="E44" s="175"/>
      <c r="F44" s="110"/>
      <c r="G44" s="149">
        <v>7.0000000000000007E-2</v>
      </c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50"/>
      <c r="T44" s="147">
        <f>SUM(G44:S44)</f>
        <v>7.0000000000000007E-2</v>
      </c>
      <c r="U44" s="151"/>
      <c r="V44" s="143"/>
      <c r="W44" s="144">
        <f>+T44</f>
        <v>7.0000000000000007E-2</v>
      </c>
    </row>
    <row r="45" spans="1:23" hidden="1" x14ac:dyDescent="0.25">
      <c r="A45" s="136" t="s">
        <v>136</v>
      </c>
      <c r="B45" s="137"/>
      <c r="C45" s="138"/>
      <c r="D45" s="175"/>
      <c r="E45" s="175"/>
      <c r="F45" s="117"/>
      <c r="G45" s="165">
        <v>200</v>
      </c>
      <c r="H45" s="145">
        <v>200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6"/>
      <c r="T45" s="147">
        <f>SUM(G45:S45)</f>
        <v>400</v>
      </c>
      <c r="U45" s="166"/>
      <c r="V45" s="143"/>
      <c r="W45" s="144">
        <f>+T45</f>
        <v>400</v>
      </c>
    </row>
    <row r="46" spans="1:23" ht="16.5" hidden="1" thickBot="1" x14ac:dyDescent="0.3">
      <c r="A46" s="152" t="s">
        <v>137</v>
      </c>
      <c r="B46" s="153"/>
      <c r="C46" s="154"/>
      <c r="D46" s="171"/>
      <c r="E46" s="171"/>
      <c r="F46" s="105"/>
      <c r="G46" s="158">
        <f t="shared" ref="G46:R46" si="12">SUM(G41:G45)</f>
        <v>200.14</v>
      </c>
      <c r="H46" s="154">
        <f t="shared" si="12"/>
        <v>650</v>
      </c>
      <c r="I46" s="154">
        <f t="shared" si="12"/>
        <v>0</v>
      </c>
      <c r="J46" s="154">
        <f t="shared" si="12"/>
        <v>0</v>
      </c>
      <c r="K46" s="154">
        <f t="shared" si="12"/>
        <v>0</v>
      </c>
      <c r="L46" s="154">
        <f t="shared" si="12"/>
        <v>0</v>
      </c>
      <c r="M46" s="154">
        <f t="shared" si="12"/>
        <v>0</v>
      </c>
      <c r="N46" s="154">
        <f t="shared" si="12"/>
        <v>0</v>
      </c>
      <c r="O46" s="154">
        <f t="shared" si="12"/>
        <v>0</v>
      </c>
      <c r="P46" s="154">
        <f t="shared" si="12"/>
        <v>0</v>
      </c>
      <c r="Q46" s="154">
        <f t="shared" si="12"/>
        <v>0</v>
      </c>
      <c r="R46" s="156">
        <f t="shared" si="12"/>
        <v>0</v>
      </c>
      <c r="T46" s="162">
        <f>SUM(T41:T45)</f>
        <v>850.14</v>
      </c>
      <c r="U46" s="158">
        <f>SUM(U41:U45)</f>
        <v>0</v>
      </c>
      <c r="V46" s="159"/>
      <c r="W46" s="162">
        <f>SUM(W41:W45)</f>
        <v>850.14</v>
      </c>
    </row>
  </sheetData>
  <mergeCells count="1">
    <mergeCell ref="A2: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9E74B-BF5E-6944-A8CE-546397541817}">
  <dimension ref="A1:AL59"/>
  <sheetViews>
    <sheetView tabSelected="1" zoomScale="120" zoomScaleNormal="120" workbookViewId="0">
      <pane xSplit="2" ySplit="3" topLeftCell="C27" activePane="bottomRight" state="frozen"/>
      <selection pane="topRight" activeCell="C1" sqref="C1"/>
      <selection pane="bottomLeft" activeCell="A4" sqref="A4"/>
      <selection pane="bottomRight" activeCell="F32" sqref="F32"/>
    </sheetView>
  </sheetViews>
  <sheetFormatPr defaultColWidth="9" defaultRowHeight="15" x14ac:dyDescent="0.25"/>
  <cols>
    <col min="1" max="1" width="3.375" style="14" customWidth="1"/>
    <col min="2" max="2" width="43.125" style="20" bestFit="1" customWidth="1"/>
    <col min="3" max="3" width="0.875" style="20" customWidth="1"/>
    <col min="4" max="5" width="14" style="20" customWidth="1"/>
    <col min="6" max="6" width="12.5" style="20" bestFit="1" customWidth="1"/>
    <col min="7" max="7" width="14" style="20" customWidth="1"/>
    <col min="8" max="8" width="12.625" style="108" customWidth="1"/>
    <col min="9" max="9" width="8.125" style="109" customWidth="1"/>
    <col min="10" max="10" width="12.625" style="110" customWidth="1"/>
    <col min="11" max="11" width="1.875" style="110" hidden="1" customWidth="1"/>
    <col min="12" max="12" width="11.5" style="111" hidden="1" customWidth="1"/>
    <col min="13" max="14" width="11.125" style="111" hidden="1" customWidth="1"/>
    <col min="15" max="15" width="11.125" style="112" hidden="1" customWidth="1"/>
    <col min="16" max="16" width="1.875" style="112" hidden="1" customWidth="1"/>
    <col min="17" max="20" width="11.125" style="108" hidden="1" customWidth="1"/>
    <col min="21" max="21" width="1.875" style="108" hidden="1" customWidth="1"/>
    <col min="22" max="22" width="11.125" style="108" hidden="1" customWidth="1"/>
    <col min="23" max="23" width="12.125" style="20" hidden="1" customWidth="1"/>
    <col min="24" max="24" width="11.5" style="20" hidden="1" customWidth="1"/>
    <col min="25" max="25" width="11.125" style="20" hidden="1" customWidth="1"/>
    <col min="26" max="26" width="1.875" style="20" hidden="1" customWidth="1"/>
    <col min="27" max="29" width="11.5" style="20" hidden="1" customWidth="1"/>
    <col min="30" max="30" width="10.125" style="20" hidden="1" customWidth="1"/>
    <col min="31" max="31" width="1.875" style="20" hidden="1" customWidth="1"/>
    <col min="32" max="32" width="14.5" style="21" hidden="1" customWidth="1"/>
    <col min="33" max="33" width="1.875" style="20" hidden="1" customWidth="1"/>
    <col min="34" max="34" width="12.125" style="20" hidden="1" customWidth="1"/>
    <col min="35" max="35" width="1.875" style="20" hidden="1" customWidth="1"/>
    <col min="36" max="36" width="11.125" style="20" hidden="1" customWidth="1"/>
    <col min="37" max="37" width="9" style="20"/>
    <col min="38" max="38" width="10.5" style="20" bestFit="1" customWidth="1"/>
    <col min="39" max="16384" width="9" style="20"/>
  </cols>
  <sheetData>
    <row r="1" spans="1:36" ht="17.25" thickTop="1" thickBot="1" x14ac:dyDescent="0.3">
      <c r="B1" s="15"/>
      <c r="C1" s="16"/>
      <c r="D1" s="184"/>
      <c r="E1" s="184"/>
      <c r="F1" s="184"/>
      <c r="G1" s="184"/>
      <c r="H1" s="184"/>
      <c r="I1" s="184"/>
      <c r="J1" s="185"/>
      <c r="K1" s="17"/>
      <c r="L1" s="18"/>
      <c r="M1" s="18"/>
      <c r="N1" s="18"/>
      <c r="O1" s="19"/>
      <c r="P1" s="19"/>
      <c r="Q1" s="20"/>
      <c r="R1" s="20"/>
      <c r="S1" s="20"/>
      <c r="T1" s="20"/>
      <c r="U1" s="20"/>
      <c r="V1" s="20"/>
    </row>
    <row r="2" spans="1:36" s="26" customFormat="1" ht="41.45" customHeight="1" thickTop="1" thickBot="1" x14ac:dyDescent="0.3">
      <c r="A2" s="22"/>
      <c r="B2" s="23" t="s">
        <v>5</v>
      </c>
      <c r="C2" s="24"/>
      <c r="D2" s="186" t="s">
        <v>6</v>
      </c>
      <c r="E2" s="186"/>
      <c r="F2" s="186"/>
      <c r="G2" s="186"/>
      <c r="H2" s="186"/>
      <c r="I2" s="186"/>
      <c r="J2" s="187"/>
      <c r="K2" s="25"/>
      <c r="L2" s="188" t="s">
        <v>7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90"/>
    </row>
    <row r="3" spans="1:36" s="26" customFormat="1" ht="39.75" thickTop="1" thickBot="1" x14ac:dyDescent="0.25">
      <c r="A3" s="22"/>
      <c r="B3" s="27" t="s">
        <v>8</v>
      </c>
      <c r="C3" s="28"/>
      <c r="D3" s="29" t="s">
        <v>9</v>
      </c>
      <c r="E3" s="30" t="s">
        <v>10</v>
      </c>
      <c r="F3" s="177" t="s">
        <v>11</v>
      </c>
      <c r="G3" s="32" t="s">
        <v>12</v>
      </c>
      <c r="H3" s="29" t="s">
        <v>13</v>
      </c>
      <c r="I3" s="29" t="s">
        <v>14</v>
      </c>
      <c r="J3" s="29" t="s">
        <v>15</v>
      </c>
      <c r="K3" s="33"/>
      <c r="L3" s="34" t="s">
        <v>16</v>
      </c>
      <c r="M3" s="34" t="s">
        <v>17</v>
      </c>
      <c r="N3" s="34" t="s">
        <v>18</v>
      </c>
      <c r="O3" s="34" t="s">
        <v>19</v>
      </c>
      <c r="P3" s="35"/>
      <c r="Q3" s="34" t="s">
        <v>20</v>
      </c>
      <c r="R3" s="34" t="s">
        <v>21</v>
      </c>
      <c r="S3" s="34" t="s">
        <v>22</v>
      </c>
      <c r="T3" s="34" t="s">
        <v>23</v>
      </c>
      <c r="U3" s="36"/>
      <c r="V3" s="34" t="s">
        <v>24</v>
      </c>
      <c r="W3" s="34" t="s">
        <v>25</v>
      </c>
      <c r="X3" s="34" t="s">
        <v>26</v>
      </c>
      <c r="Y3" s="34" t="s">
        <v>27</v>
      </c>
      <c r="Z3" s="36"/>
      <c r="AA3" s="34" t="s">
        <v>28</v>
      </c>
      <c r="AB3" s="37" t="s">
        <v>29</v>
      </c>
      <c r="AC3" s="34" t="s">
        <v>30</v>
      </c>
      <c r="AD3" s="34" t="s">
        <v>31</v>
      </c>
      <c r="AE3" s="36"/>
      <c r="AF3" s="34" t="s">
        <v>32</v>
      </c>
      <c r="AH3" s="34" t="s">
        <v>33</v>
      </c>
      <c r="AJ3" s="34" t="s">
        <v>34</v>
      </c>
    </row>
    <row r="4" spans="1:36" ht="17.100000000000001" customHeight="1" thickBot="1" x14ac:dyDescent="0.3">
      <c r="B4" s="38" t="s">
        <v>35</v>
      </c>
      <c r="C4" s="39"/>
      <c r="D4" s="40"/>
      <c r="E4" s="40"/>
      <c r="F4" s="40"/>
      <c r="G4" s="40"/>
      <c r="H4" s="41"/>
      <c r="I4" s="42"/>
      <c r="J4" s="41"/>
      <c r="K4" s="43"/>
      <c r="L4" s="44"/>
      <c r="M4" s="44"/>
      <c r="N4" s="44"/>
      <c r="O4" s="45"/>
      <c r="P4" s="46"/>
      <c r="Q4" s="44"/>
      <c r="R4" s="44"/>
      <c r="S4" s="44"/>
      <c r="T4" s="45"/>
      <c r="U4" s="47"/>
      <c r="V4" s="44"/>
      <c r="W4" s="44"/>
      <c r="X4" s="44"/>
      <c r="Y4" s="45"/>
      <c r="AA4" s="44"/>
      <c r="AB4" s="48"/>
      <c r="AC4" s="49"/>
      <c r="AD4" s="45"/>
      <c r="AF4" s="45"/>
      <c r="AH4" s="45"/>
      <c r="AJ4" s="45"/>
    </row>
    <row r="5" spans="1:36" ht="16.5" thickBot="1" x14ac:dyDescent="0.3">
      <c r="B5" s="39" t="s">
        <v>36</v>
      </c>
      <c r="C5" s="50"/>
      <c r="D5" s="51">
        <v>959112.64</v>
      </c>
      <c r="E5" s="51"/>
      <c r="F5" s="51"/>
      <c r="G5" s="51">
        <f>+D5+E5+F5</f>
        <v>959112.64</v>
      </c>
      <c r="H5" s="52">
        <f>+AF5</f>
        <v>463459.69</v>
      </c>
      <c r="I5" s="42">
        <f>H5/G5</f>
        <v>0.48321716414872812</v>
      </c>
      <c r="J5" s="52">
        <f>+G5-H5</f>
        <v>495652.95</v>
      </c>
      <c r="K5" s="53"/>
      <c r="L5" s="54">
        <f>+[1]Payroll!C83+[1]Payroll!C84+[1]Payroll!C85+[1]Payroll!C86+[1]Payroll!C91+[1]Payroll!C92+[1]Payroll!C93+[1]Payroll!C94+[1]Payroll!C95+[1]Payroll!C87+[1]Payroll!C101+[1]Payroll!C102+[1]Payroll!C103</f>
        <v>76150.38</v>
      </c>
      <c r="M5" s="54">
        <f>+[1]Payroll!D83+[1]Payroll!D84+[1]Payroll!D85+[1]Payroll!D86+[1]Payroll!D91+[1]Payroll!D92+[1]Payroll!D93+[1]Payroll!D94+[1]Payroll!D95+[1]Payroll!D87+[1]Payroll!D101+[1]Payroll!D102+[1]Payroll!D103</f>
        <v>71664.08</v>
      </c>
      <c r="N5" s="54">
        <f>+[1]Payroll!E83+[1]Payroll!E84+[1]Payroll!E85+[1]Payroll!E86+[1]Payroll!E91+[1]Payroll!E92+[1]Payroll!E93+[1]Payroll!E94+[1]Payroll!E95+[1]Payroll!E87+[1]Payroll!E101+[1]Payroll!E102+[1]Payroll!E103</f>
        <v>79954.288</v>
      </c>
      <c r="O5" s="55">
        <f>SUM(L5:N5)</f>
        <v>227768.74800000002</v>
      </c>
      <c r="P5" s="56"/>
      <c r="Q5" s="54">
        <f>+[1]Payroll!F83+[1]Payroll!F84+[1]Payroll!F85+[1]Payroll!F86+[1]Payroll!F91+[1]Payroll!F92+[1]Payroll!F93+[1]Payroll!F94+[1]Payroll!F95+[1]Payroll!F87+[1]Payroll!F101+[1]Payroll!F102+[1]Payroll!F103</f>
        <v>75512.821999999986</v>
      </c>
      <c r="R5" s="54">
        <f>+[1]Payroll!G83+[1]Payroll!G84+[1]Payroll!G85+[1]Payroll!G86+[1]Payroll!G91+[1]Payroll!G92+[1]Payroll!G93+[1]Payroll!G94+[1]Payroll!G95+[1]Payroll!G87+[1]Payroll!G101+[1]Payroll!G102+[1]Payroll!G103</f>
        <v>77238.149999999994</v>
      </c>
      <c r="S5" s="54">
        <f>+[1]Payroll!H83+[1]Payroll!H84+[1]Payroll!H85+[1]Payroll!H91+[1]Payroll!H92+[1]Payroll!H93+[1]Payroll!H94+[1]Payroll!H95+[1]Payroll!H96+[1]Payroll!H101+[1]Payroll!H102+[1]Payroll!H103</f>
        <v>82939.97</v>
      </c>
      <c r="T5" s="55">
        <f>SUM(Q5:S5)</f>
        <v>235690.94199999998</v>
      </c>
      <c r="U5" s="57"/>
      <c r="V5" s="54"/>
      <c r="W5" s="54"/>
      <c r="X5" s="54"/>
      <c r="Y5" s="55">
        <f>SUM(V5:X5)</f>
        <v>0</v>
      </c>
      <c r="AA5" s="54"/>
      <c r="AB5" s="54"/>
      <c r="AC5" s="54"/>
      <c r="AD5" s="55">
        <f>SUM(AA5:AC5)</f>
        <v>0</v>
      </c>
      <c r="AF5" s="55">
        <f>+O5+T5</f>
        <v>463459.69</v>
      </c>
      <c r="AH5" s="55">
        <f>71242+232039.63</f>
        <v>303281.63</v>
      </c>
      <c r="AJ5" s="55">
        <f>+AF5-AH5</f>
        <v>160178.06</v>
      </c>
    </row>
    <row r="6" spans="1:36" ht="15.75" thickBot="1" x14ac:dyDescent="0.3">
      <c r="B6" s="58" t="s">
        <v>37</v>
      </c>
      <c r="C6" s="39"/>
      <c r="D6" s="59"/>
      <c r="E6" s="59"/>
      <c r="F6" s="59"/>
      <c r="G6" s="59"/>
      <c r="H6" s="60"/>
      <c r="I6" s="42"/>
      <c r="J6" s="60"/>
      <c r="K6" s="61"/>
      <c r="L6" s="54"/>
      <c r="M6" s="54"/>
      <c r="N6" s="54"/>
      <c r="O6" s="62"/>
      <c r="P6" s="46"/>
      <c r="Q6" s="54"/>
      <c r="R6" s="54"/>
      <c r="S6" s="54"/>
      <c r="T6" s="62"/>
      <c r="U6" s="47"/>
      <c r="V6" s="54"/>
      <c r="W6" s="54"/>
      <c r="X6" s="54"/>
      <c r="Y6" s="62"/>
      <c r="AA6" s="54"/>
      <c r="AB6" s="54"/>
      <c r="AC6" s="54"/>
      <c r="AD6" s="62"/>
      <c r="AF6" s="62"/>
      <c r="AH6" s="62"/>
      <c r="AJ6" s="62"/>
    </row>
    <row r="7" spans="1:36" ht="16.5" thickBot="1" x14ac:dyDescent="0.3">
      <c r="B7" s="39" t="s">
        <v>38</v>
      </c>
      <c r="C7" s="50"/>
      <c r="D7" s="51">
        <v>78666.97</v>
      </c>
      <c r="E7" s="51"/>
      <c r="F7" s="51"/>
      <c r="G7" s="51">
        <f t="shared" ref="G7:G11" si="0">+D7+E7+F7</f>
        <v>78666.97</v>
      </c>
      <c r="H7" s="52">
        <f>+AF7</f>
        <v>33446.861199999999</v>
      </c>
      <c r="I7" s="42">
        <f t="shared" ref="I7:I11" si="1">H7/G7</f>
        <v>0.42517032497883162</v>
      </c>
      <c r="J7" s="52">
        <f t="shared" ref="J7:J15" si="2">+G7-H7</f>
        <v>45220.108800000002</v>
      </c>
      <c r="K7" s="53"/>
      <c r="L7" s="63">
        <f>+[1]Payroll!C88+[1]Payroll!C97</f>
        <v>5384.1985999999997</v>
      </c>
      <c r="M7" s="63">
        <f>+[1]Payroll!D88+[1]Payroll!D97</f>
        <v>4490.0122700000002</v>
      </c>
      <c r="N7" s="63">
        <f>+[1]Payroll!E88+[1]Payroll!E97</f>
        <v>6023.2132650000003</v>
      </c>
      <c r="O7" s="55">
        <f>SUM(L7:N7)</f>
        <v>15897.424134999999</v>
      </c>
      <c r="P7" s="64"/>
      <c r="Q7" s="63">
        <f>+[1]Payroll!F88+[1]Payroll!F97</f>
        <v>5684.8159999999998</v>
      </c>
      <c r="R7" s="63">
        <f>+[1]Payroll!G88+[1]Payroll!G97</f>
        <v>5686.9417099999991</v>
      </c>
      <c r="S7" s="63">
        <f>+[1]Payroll!H88+[1]Payroll!H97</f>
        <v>6177.6793550000002</v>
      </c>
      <c r="T7" s="55">
        <f>SUM(Q7:S7)</f>
        <v>17549.437064999998</v>
      </c>
      <c r="U7" s="65"/>
      <c r="V7" s="63"/>
      <c r="W7" s="63"/>
      <c r="X7" s="63"/>
      <c r="Y7" s="55">
        <f>SUM(V7:X7)</f>
        <v>0</v>
      </c>
      <c r="AA7" s="63"/>
      <c r="AB7" s="63"/>
      <c r="AC7" s="63"/>
      <c r="AD7" s="55">
        <f>SUM(AA7:AC7)</f>
        <v>0</v>
      </c>
      <c r="AF7" s="55">
        <f>+O7+T7</f>
        <v>33446.861199999999</v>
      </c>
      <c r="AH7" s="55">
        <f>5272.77+16309.47</f>
        <v>21582.239999999998</v>
      </c>
      <c r="AJ7" s="55">
        <f>+AF7-AH7</f>
        <v>11864.621200000001</v>
      </c>
    </row>
    <row r="8" spans="1:36" ht="16.5" thickBot="1" x14ac:dyDescent="0.3">
      <c r="B8" s="39" t="s">
        <v>39</v>
      </c>
      <c r="C8" s="50"/>
      <c r="D8" s="51">
        <v>14348.21</v>
      </c>
      <c r="E8" s="51"/>
      <c r="F8" s="51"/>
      <c r="G8" s="51">
        <f t="shared" si="0"/>
        <v>14348.21</v>
      </c>
      <c r="H8" s="52">
        <f>+AF8</f>
        <v>1076.5567763440001</v>
      </c>
      <c r="I8" s="42">
        <f t="shared" si="1"/>
        <v>7.5030737377275641E-2</v>
      </c>
      <c r="J8" s="52">
        <f t="shared" si="2"/>
        <v>13271.653223656</v>
      </c>
      <c r="K8" s="53"/>
      <c r="L8" s="54">
        <f>+[1]Payroll!C89+[1]Payroll!C98</f>
        <v>175.76177634400005</v>
      </c>
      <c r="M8" s="54">
        <f>+[1]Payroll!D89+[1]Payroll!D98</f>
        <v>167.22500000000002</v>
      </c>
      <c r="N8" s="54">
        <f>+[1]Payroll!E89+[1]Payroll!E98</f>
        <v>231.71</v>
      </c>
      <c r="O8" s="55">
        <f>SUM(L8:N8)</f>
        <v>574.69677634400011</v>
      </c>
      <c r="P8" s="46"/>
      <c r="Q8" s="54">
        <f>+[1]Payroll!F89+[1]Payroll!F98</f>
        <v>138.56</v>
      </c>
      <c r="R8" s="54">
        <f>+[1]Payroll!G89+[1]Payroll!G98</f>
        <v>165.892662</v>
      </c>
      <c r="S8" s="54">
        <f>+[1]Payroll!H89+[1]Payroll!H98</f>
        <v>197.40733799999998</v>
      </c>
      <c r="T8" s="55">
        <f>SUM(Q8:S8)</f>
        <v>501.86</v>
      </c>
      <c r="U8" s="66"/>
      <c r="V8" s="54"/>
      <c r="W8" s="54"/>
      <c r="X8" s="54"/>
      <c r="Y8" s="55">
        <f>SUM(V8:X8)</f>
        <v>0</v>
      </c>
      <c r="AA8" s="54"/>
      <c r="AB8" s="54"/>
      <c r="AC8" s="54"/>
      <c r="AD8" s="55">
        <f>SUM(AA8:AC8)</f>
        <v>0</v>
      </c>
      <c r="AF8" s="55">
        <f>+O8+T8</f>
        <v>1076.5567763440001</v>
      </c>
      <c r="AH8" s="55">
        <f>12.85+700.43</f>
        <v>713.28</v>
      </c>
      <c r="AJ8" s="55">
        <f>+AF8-AH8</f>
        <v>363.27677634400015</v>
      </c>
    </row>
    <row r="9" spans="1:36" ht="16.5" thickBot="1" x14ac:dyDescent="0.3">
      <c r="B9" s="39" t="s">
        <v>40</v>
      </c>
      <c r="C9" s="67"/>
      <c r="D9" s="51">
        <v>37000</v>
      </c>
      <c r="E9" s="51"/>
      <c r="F9" s="51">
        <v>-21901</v>
      </c>
      <c r="G9" s="51">
        <f t="shared" si="0"/>
        <v>15099</v>
      </c>
      <c r="H9" s="52">
        <f>+AF9</f>
        <v>15099</v>
      </c>
      <c r="I9" s="42">
        <f t="shared" si="1"/>
        <v>1</v>
      </c>
      <c r="J9" s="52">
        <f t="shared" si="2"/>
        <v>0</v>
      </c>
      <c r="K9" s="53"/>
      <c r="L9" s="54"/>
      <c r="M9" s="54">
        <f>15099</f>
        <v>15099</v>
      </c>
      <c r="N9" s="54"/>
      <c r="O9" s="55">
        <f>SUM(L9:N9)</f>
        <v>15099</v>
      </c>
      <c r="P9" s="46"/>
      <c r="Q9" s="54"/>
      <c r="R9" s="54"/>
      <c r="S9" s="54"/>
      <c r="T9" s="55">
        <f>SUM(Q9:S9)</f>
        <v>0</v>
      </c>
      <c r="U9" s="66"/>
      <c r="V9" s="54"/>
      <c r="W9" s="54"/>
      <c r="X9" s="54"/>
      <c r="Y9" s="55">
        <f>SUM(V9:X9)</f>
        <v>0</v>
      </c>
      <c r="AA9" s="54"/>
      <c r="AB9" s="54"/>
      <c r="AC9" s="54"/>
      <c r="AD9" s="55">
        <f>SUM(AA9:AC9)</f>
        <v>0</v>
      </c>
      <c r="AF9" s="55">
        <f>+O9+T9</f>
        <v>15099</v>
      </c>
      <c r="AH9" s="55">
        <v>15099</v>
      </c>
      <c r="AJ9" s="55">
        <f>+AF9-AH9</f>
        <v>0</v>
      </c>
    </row>
    <row r="10" spans="1:36" ht="16.5" thickBot="1" x14ac:dyDescent="0.3">
      <c r="B10" s="39" t="s">
        <v>41</v>
      </c>
      <c r="C10" s="67"/>
      <c r="D10" s="51">
        <v>184292.64</v>
      </c>
      <c r="E10" s="51"/>
      <c r="F10" s="51"/>
      <c r="G10" s="51">
        <f t="shared" si="0"/>
        <v>184292.64</v>
      </c>
      <c r="H10" s="52">
        <f>+AF10</f>
        <v>69024.22</v>
      </c>
      <c r="I10" s="42">
        <f t="shared" si="1"/>
        <v>0.37453595542393875</v>
      </c>
      <c r="J10" s="52">
        <f t="shared" si="2"/>
        <v>115268.42000000001</v>
      </c>
      <c r="K10" s="53"/>
      <c r="L10" s="54">
        <f>+[1]Payroll!C110</f>
        <v>12179.75</v>
      </c>
      <c r="M10" s="54">
        <v>12739.43</v>
      </c>
      <c r="N10" s="54">
        <f>+[1]Payroll!E110</f>
        <v>12043.25</v>
      </c>
      <c r="O10" s="55">
        <f>SUM(L10:N10)</f>
        <v>36962.43</v>
      </c>
      <c r="P10" s="46"/>
      <c r="Q10" s="54">
        <f>+[1]Payroll!F110-430.6</f>
        <v>12227.599999999999</v>
      </c>
      <c r="R10" s="54">
        <f>+[1]Payroll!G110-430.6</f>
        <v>10712.949999999999</v>
      </c>
      <c r="S10" s="54">
        <f>+[1]Payroll!H110-430.61</f>
        <v>9121.24</v>
      </c>
      <c r="T10" s="55">
        <f>SUM(Q10:S10)</f>
        <v>32061.789999999994</v>
      </c>
      <c r="U10" s="66"/>
      <c r="V10" s="54"/>
      <c r="W10" s="54"/>
      <c r="X10" s="54"/>
      <c r="Y10" s="55">
        <f>SUM(V10:X10)</f>
        <v>0</v>
      </c>
      <c r="AA10" s="54"/>
      <c r="AB10" s="54"/>
      <c r="AC10" s="54"/>
      <c r="AD10" s="55">
        <f>SUM(AA10:AC10)</f>
        <v>0</v>
      </c>
      <c r="AF10" s="55">
        <f>+O10+T10</f>
        <v>69024.22</v>
      </c>
      <c r="AH10" s="55">
        <f>15272.48+41.04+801.52+139.12+14.18+28270.25+29.64+203.96+2517.86+354.92+69.13</f>
        <v>47714.1</v>
      </c>
      <c r="AJ10" s="55">
        <f>+AF10-AH10</f>
        <v>21310.120000000003</v>
      </c>
    </row>
    <row r="11" spans="1:36" ht="16.5" thickBot="1" x14ac:dyDescent="0.3">
      <c r="B11" s="39" t="s">
        <v>42</v>
      </c>
      <c r="C11" s="67"/>
      <c r="D11" s="51">
        <v>76234.63</v>
      </c>
      <c r="E11" s="51"/>
      <c r="F11" s="51"/>
      <c r="G11" s="51">
        <f t="shared" si="0"/>
        <v>76234.63</v>
      </c>
      <c r="H11" s="52">
        <f>+AF11</f>
        <v>33242.899409999998</v>
      </c>
      <c r="I11" s="42">
        <f t="shared" si="1"/>
        <v>0.43606034960752083</v>
      </c>
      <c r="J11" s="52">
        <f t="shared" si="2"/>
        <v>42991.730590000006</v>
      </c>
      <c r="K11" s="53"/>
      <c r="L11" s="54">
        <f>+[1]Payroll!C112</f>
        <v>5492.9568099999997</v>
      </c>
      <c r="M11" s="54">
        <f>+[1]Payroll!D112</f>
        <v>4541.47127</v>
      </c>
      <c r="N11" s="54">
        <f>+[1]Payroll!E112</f>
        <v>5860.9772650000014</v>
      </c>
      <c r="O11" s="55">
        <f>SUM(L11:N11)</f>
        <v>15895.405345000001</v>
      </c>
      <c r="P11" s="46"/>
      <c r="Q11" s="54">
        <f>+[1]Payroll!F112</f>
        <v>5418.7730000000001</v>
      </c>
      <c r="R11" s="54">
        <f>+[1]Payroll!G112</f>
        <v>5820.34771</v>
      </c>
      <c r="S11" s="54">
        <f>+[1]Payroll!H112</f>
        <v>6108.3733549999997</v>
      </c>
      <c r="T11" s="55">
        <f>SUM(Q11:S11)</f>
        <v>17347.494064999999</v>
      </c>
      <c r="U11" s="66"/>
      <c r="V11" s="54"/>
      <c r="W11" s="54"/>
      <c r="X11" s="54"/>
      <c r="Y11" s="55">
        <f>SUM(V11:X11)</f>
        <v>0</v>
      </c>
      <c r="AA11" s="54"/>
      <c r="AB11" s="54"/>
      <c r="AC11" s="54"/>
      <c r="AD11" s="55">
        <f>SUM(AA11:AC11)</f>
        <v>0</v>
      </c>
      <c r="AF11" s="55">
        <f>+O11+T11</f>
        <v>33242.899409999998</v>
      </c>
      <c r="AH11" s="55">
        <f>5126.87+16187.32</f>
        <v>21314.19</v>
      </c>
      <c r="AJ11" s="55">
        <f>+AF11-AH11</f>
        <v>11928.709409999999</v>
      </c>
    </row>
    <row r="12" spans="1:36" ht="15.75" thickBot="1" x14ac:dyDescent="0.3">
      <c r="B12" s="58" t="s">
        <v>43</v>
      </c>
      <c r="C12" s="68"/>
      <c r="D12" s="59"/>
      <c r="E12" s="59"/>
      <c r="F12" s="59"/>
      <c r="G12" s="59"/>
      <c r="H12" s="60"/>
      <c r="I12" s="42"/>
      <c r="J12" s="52">
        <f t="shared" si="2"/>
        <v>0</v>
      </c>
      <c r="K12" s="61"/>
      <c r="L12" s="54"/>
      <c r="M12" s="54"/>
      <c r="N12" s="54"/>
      <c r="O12" s="62"/>
      <c r="P12" s="46"/>
      <c r="Q12" s="54"/>
      <c r="R12" s="54"/>
      <c r="S12" s="54"/>
      <c r="T12" s="62"/>
      <c r="U12" s="69"/>
      <c r="V12" s="54"/>
      <c r="W12" s="54"/>
      <c r="X12" s="54"/>
      <c r="Y12" s="62"/>
      <c r="AA12" s="54"/>
      <c r="AB12" s="70"/>
      <c r="AC12" s="71"/>
      <c r="AD12" s="62"/>
      <c r="AF12" s="62"/>
      <c r="AH12" s="62"/>
      <c r="AJ12" s="62"/>
    </row>
    <row r="13" spans="1:36" ht="16.5" thickBot="1" x14ac:dyDescent="0.3">
      <c r="B13" s="39" t="s">
        <v>44</v>
      </c>
      <c r="C13" s="67"/>
      <c r="D13" s="51">
        <v>8500</v>
      </c>
      <c r="E13" s="51"/>
      <c r="F13" s="51">
        <v>1000</v>
      </c>
      <c r="G13" s="51">
        <f t="shared" ref="G13:G15" si="3">+D13+E13+F13</f>
        <v>9500</v>
      </c>
      <c r="H13" s="52">
        <f>+AF13</f>
        <v>4491.9400000000005</v>
      </c>
      <c r="I13" s="42">
        <f t="shared" ref="I13:I15" si="4">H13/G13</f>
        <v>0.47283578947368426</v>
      </c>
      <c r="J13" s="52">
        <f t="shared" si="2"/>
        <v>5008.0599999999995</v>
      </c>
      <c r="K13" s="53"/>
      <c r="L13" s="72">
        <f>414.81+31.17+238.56</f>
        <v>684.54</v>
      </c>
      <c r="M13" s="72">
        <f>499.43+71.85+544.28</f>
        <v>1115.56</v>
      </c>
      <c r="N13" s="72">
        <f>635.92+124.96</f>
        <v>760.88</v>
      </c>
      <c r="O13" s="55">
        <f>SUM(L13:N13)</f>
        <v>2560.98</v>
      </c>
      <c r="P13" s="73"/>
      <c r="Q13" s="72">
        <f>515.69+196.69</f>
        <v>712.38000000000011</v>
      </c>
      <c r="R13" s="72">
        <f>507.24+148.97</f>
        <v>656.21</v>
      </c>
      <c r="S13" s="72">
        <f>495.69+66.68</f>
        <v>562.37</v>
      </c>
      <c r="T13" s="55">
        <f>SUM(Q13:S13)</f>
        <v>1930.96</v>
      </c>
      <c r="U13" s="73"/>
      <c r="V13" s="72"/>
      <c r="W13" s="72"/>
      <c r="X13" s="72"/>
      <c r="Y13" s="55">
        <f>SUM(V13:X13)</f>
        <v>0</v>
      </c>
      <c r="AA13" s="72"/>
      <c r="AB13" s="74"/>
      <c r="AC13" s="75"/>
      <c r="AD13" s="55">
        <f t="shared" ref="AD13:AD21" si="5">SUM(AA13:AC13)</f>
        <v>0</v>
      </c>
      <c r="AF13" s="55">
        <f>+O13+T13</f>
        <v>4491.9400000000005</v>
      </c>
      <c r="AH13" s="55">
        <f>2065.85+31.17+544.28+632.06</f>
        <v>3273.36</v>
      </c>
      <c r="AJ13" s="55">
        <f>+AF13-AH13</f>
        <v>1218.5800000000004</v>
      </c>
    </row>
    <row r="14" spans="1:36" ht="16.5" thickBot="1" x14ac:dyDescent="0.3">
      <c r="B14" s="39" t="s">
        <v>45</v>
      </c>
      <c r="C14" s="67"/>
      <c r="D14" s="51">
        <f>166000</f>
        <v>166000</v>
      </c>
      <c r="E14" s="51">
        <v>45273.440000000002</v>
      </c>
      <c r="F14" s="51"/>
      <c r="G14" s="51">
        <f t="shared" si="3"/>
        <v>211273.44</v>
      </c>
      <c r="H14" s="52">
        <f>+AF14</f>
        <v>117586.66</v>
      </c>
      <c r="I14" s="42">
        <f t="shared" si="4"/>
        <v>0.55656148733129918</v>
      </c>
      <c r="J14" s="52">
        <f t="shared" si="2"/>
        <v>93686.78</v>
      </c>
      <c r="K14" s="53"/>
      <c r="L14" s="54">
        <v>17965.79</v>
      </c>
      <c r="M14" s="54">
        <v>19199.38</v>
      </c>
      <c r="N14" s="54">
        <v>20201.099999999999</v>
      </c>
      <c r="O14" s="55">
        <f>SUM(L14:N14)</f>
        <v>57366.27</v>
      </c>
      <c r="P14" s="46"/>
      <c r="Q14" s="54">
        <v>19800.87</v>
      </c>
      <c r="R14" s="54">
        <v>5000</v>
      </c>
      <c r="S14" s="54">
        <v>35419.519999999997</v>
      </c>
      <c r="T14" s="55">
        <f>SUM(Q14:S14)</f>
        <v>60220.39</v>
      </c>
      <c r="U14" s="66"/>
      <c r="V14" s="54"/>
      <c r="W14" s="54"/>
      <c r="X14" s="54"/>
      <c r="Y14" s="55">
        <f>SUM(V14:X14)</f>
        <v>0</v>
      </c>
      <c r="AA14" s="54"/>
      <c r="AB14" s="70"/>
      <c r="AC14" s="71"/>
      <c r="AD14" s="55">
        <f t="shared" si="5"/>
        <v>0</v>
      </c>
      <c r="AF14" s="55">
        <f>+O14+T14</f>
        <v>117586.66</v>
      </c>
      <c r="AH14" s="55">
        <v>77167.14</v>
      </c>
      <c r="AJ14" s="55">
        <f>+AF14-AH14</f>
        <v>40419.520000000004</v>
      </c>
    </row>
    <row r="15" spans="1:36" ht="16.5" thickBot="1" x14ac:dyDescent="0.3">
      <c r="B15" s="39" t="s">
        <v>46</v>
      </c>
      <c r="C15" s="50"/>
      <c r="D15" s="51">
        <v>25000</v>
      </c>
      <c r="E15" s="51">
        <v>4000</v>
      </c>
      <c r="F15" s="51">
        <v>10000</v>
      </c>
      <c r="G15" s="51">
        <f t="shared" si="3"/>
        <v>39000</v>
      </c>
      <c r="H15" s="52">
        <f>+AF15</f>
        <v>24250</v>
      </c>
      <c r="I15" s="42">
        <f t="shared" si="4"/>
        <v>0.62179487179487181</v>
      </c>
      <c r="J15" s="52">
        <f t="shared" si="2"/>
        <v>14750</v>
      </c>
      <c r="K15" s="53"/>
      <c r="L15" s="72">
        <f>2551.32+1504.18</f>
        <v>4055.5</v>
      </c>
      <c r="M15" s="72">
        <f>3489.13-3051.8</f>
        <v>437.32999999999993</v>
      </c>
      <c r="N15" s="72">
        <v>4612.79</v>
      </c>
      <c r="O15" s="55">
        <f>SUM(L15:N15)</f>
        <v>9105.619999999999</v>
      </c>
      <c r="P15" s="73"/>
      <c r="Q15" s="72">
        <f>7844.61-189.65</f>
        <v>7654.96</v>
      </c>
      <c r="R15" s="72">
        <f>2136.18+2752.94+1258.06</f>
        <v>6147.18</v>
      </c>
      <c r="S15" s="72">
        <f>2588.27-1246.03</f>
        <v>1342.24</v>
      </c>
      <c r="T15" s="55">
        <f>SUM(Q15:S15)</f>
        <v>15144.38</v>
      </c>
      <c r="U15" s="73"/>
      <c r="V15" s="72"/>
      <c r="W15" s="72"/>
      <c r="X15" s="72"/>
      <c r="Y15" s="55">
        <f>SUM(V15:X15)</f>
        <v>0</v>
      </c>
      <c r="AA15" s="72"/>
      <c r="AB15" s="74"/>
      <c r="AC15" s="75"/>
      <c r="AD15" s="55">
        <f t="shared" si="5"/>
        <v>0</v>
      </c>
      <c r="AF15" s="55">
        <f>+O15+T15</f>
        <v>24250</v>
      </c>
      <c r="AH15" s="55">
        <f>13778.44+2982.14</f>
        <v>16760.580000000002</v>
      </c>
      <c r="AJ15" s="55">
        <f>+AF15-AH15</f>
        <v>7489.4199999999983</v>
      </c>
    </row>
    <row r="16" spans="1:36" ht="16.5" thickBot="1" x14ac:dyDescent="0.3">
      <c r="B16" s="58" t="s">
        <v>47</v>
      </c>
      <c r="C16" s="67"/>
      <c r="D16" s="77"/>
      <c r="E16" s="77"/>
      <c r="F16" s="77"/>
      <c r="G16" s="77"/>
      <c r="H16" s="52"/>
      <c r="I16" s="42"/>
      <c r="J16" s="52"/>
      <c r="K16" s="53"/>
      <c r="L16" s="72"/>
      <c r="M16" s="72"/>
      <c r="N16" s="72"/>
      <c r="O16" s="55"/>
      <c r="P16" s="73"/>
      <c r="Q16" s="72"/>
      <c r="R16" s="72"/>
      <c r="S16" s="72"/>
      <c r="T16" s="55"/>
      <c r="U16" s="73"/>
      <c r="V16" s="72"/>
      <c r="W16" s="72"/>
      <c r="X16" s="72"/>
      <c r="Y16" s="55"/>
      <c r="AA16" s="72"/>
      <c r="AB16" s="74"/>
      <c r="AC16" s="75"/>
      <c r="AD16" s="55">
        <f t="shared" si="5"/>
        <v>0</v>
      </c>
      <c r="AF16" s="55"/>
      <c r="AH16" s="55"/>
      <c r="AJ16" s="55"/>
    </row>
    <row r="17" spans="2:36" ht="16.5" thickBot="1" x14ac:dyDescent="0.3">
      <c r="B17" s="78" t="s">
        <v>48</v>
      </c>
      <c r="C17" s="67"/>
      <c r="D17" s="51">
        <v>20200</v>
      </c>
      <c r="E17" s="51">
        <v>-4000</v>
      </c>
      <c r="F17" s="51"/>
      <c r="G17" s="51">
        <f t="shared" ref="G17:G21" si="6">+D17+E17+F17</f>
        <v>16200</v>
      </c>
      <c r="H17" s="52">
        <f>+AF17</f>
        <v>559.91999999999996</v>
      </c>
      <c r="I17" s="42">
        <f t="shared" ref="I17:I21" si="7">H17/G17</f>
        <v>3.4562962962962962E-2</v>
      </c>
      <c r="J17" s="52">
        <f t="shared" ref="J17:J21" si="8">+G17-H17</f>
        <v>15640.08</v>
      </c>
      <c r="K17" s="53"/>
      <c r="L17" s="72"/>
      <c r="M17" s="72">
        <f>559.92</f>
        <v>559.91999999999996</v>
      </c>
      <c r="N17" s="72"/>
      <c r="O17" s="55">
        <f>SUM(L17:N17)</f>
        <v>559.91999999999996</v>
      </c>
      <c r="P17" s="73"/>
      <c r="Q17" s="72"/>
      <c r="R17" s="72"/>
      <c r="S17" s="72"/>
      <c r="T17" s="55">
        <f>SUM(Q17:S17)</f>
        <v>0</v>
      </c>
      <c r="U17" s="73"/>
      <c r="V17" s="72"/>
      <c r="W17" s="72"/>
      <c r="X17" s="72"/>
      <c r="Y17" s="55">
        <f>SUM(V17:X17)</f>
        <v>0</v>
      </c>
      <c r="AA17" s="72"/>
      <c r="AB17" s="74"/>
      <c r="AC17" s="75"/>
      <c r="AD17" s="55">
        <f t="shared" si="5"/>
        <v>0</v>
      </c>
      <c r="AF17" s="55">
        <f>+O17+T17</f>
        <v>559.91999999999996</v>
      </c>
      <c r="AH17" s="55">
        <v>559.91999999999996</v>
      </c>
      <c r="AJ17" s="55">
        <f>+AF17-AH17</f>
        <v>0</v>
      </c>
    </row>
    <row r="18" spans="2:36" ht="16.5" thickBot="1" x14ac:dyDescent="0.3">
      <c r="B18" s="39" t="s">
        <v>49</v>
      </c>
      <c r="C18" s="67"/>
      <c r="D18" s="51">
        <v>7800</v>
      </c>
      <c r="E18" s="51">
        <v>-2000</v>
      </c>
      <c r="F18" s="51"/>
      <c r="G18" s="51">
        <f t="shared" si="6"/>
        <v>5800</v>
      </c>
      <c r="H18" s="52">
        <f>+AF18</f>
        <v>1856.65</v>
      </c>
      <c r="I18" s="42">
        <f t="shared" si="7"/>
        <v>0.32011206896551725</v>
      </c>
      <c r="J18" s="52">
        <f t="shared" si="8"/>
        <v>3943.35</v>
      </c>
      <c r="K18" s="53"/>
      <c r="L18" s="54">
        <v>209.86</v>
      </c>
      <c r="M18" s="54">
        <v>337.75</v>
      </c>
      <c r="N18" s="54">
        <f>188.89</f>
        <v>188.89</v>
      </c>
      <c r="O18" s="55">
        <f>SUM(L18:N18)</f>
        <v>736.5</v>
      </c>
      <c r="P18" s="46"/>
      <c r="Q18" s="54">
        <v>368.17</v>
      </c>
      <c r="R18" s="54">
        <v>221.44</v>
      </c>
      <c r="S18" s="54">
        <v>530.54</v>
      </c>
      <c r="T18" s="55">
        <f>SUM(Q18:S18)</f>
        <v>1120.1500000000001</v>
      </c>
      <c r="U18" s="66"/>
      <c r="V18" s="54"/>
      <c r="W18" s="54"/>
      <c r="X18" s="54"/>
      <c r="Y18" s="55">
        <f>SUM(V18:X18)</f>
        <v>0</v>
      </c>
      <c r="AA18" s="54"/>
      <c r="AB18" s="70"/>
      <c r="AC18" s="71"/>
      <c r="AD18" s="55">
        <f t="shared" si="5"/>
        <v>0</v>
      </c>
      <c r="AF18" s="55">
        <f>+O18+T18</f>
        <v>1856.65</v>
      </c>
      <c r="AH18" s="55">
        <f>983.9+120.77</f>
        <v>1104.67</v>
      </c>
      <c r="AJ18" s="55">
        <f>+AF18-AH18</f>
        <v>751.98</v>
      </c>
    </row>
    <row r="19" spans="2:36" ht="16.5" thickBot="1" x14ac:dyDescent="0.3">
      <c r="B19" s="39" t="s">
        <v>50</v>
      </c>
      <c r="C19" s="67"/>
      <c r="D19" s="51">
        <v>2100</v>
      </c>
      <c r="E19" s="51"/>
      <c r="F19" s="51"/>
      <c r="G19" s="51">
        <f t="shared" si="6"/>
        <v>2100</v>
      </c>
      <c r="H19" s="52">
        <f>+AF19</f>
        <v>1005.6099999999999</v>
      </c>
      <c r="I19" s="42">
        <f t="shared" si="7"/>
        <v>0.47886190476190471</v>
      </c>
      <c r="J19" s="52">
        <f t="shared" si="8"/>
        <v>1094.3900000000001</v>
      </c>
      <c r="K19" s="53"/>
      <c r="L19" s="54">
        <v>471.55</v>
      </c>
      <c r="M19" s="54"/>
      <c r="N19" s="54">
        <f>128.26</f>
        <v>128.26</v>
      </c>
      <c r="O19" s="55">
        <f>SUM(L19:N19)</f>
        <v>599.80999999999995</v>
      </c>
      <c r="P19" s="46"/>
      <c r="Q19" s="54">
        <f>405.8</f>
        <v>405.8</v>
      </c>
      <c r="R19" s="54"/>
      <c r="S19" s="54"/>
      <c r="T19" s="55">
        <f>SUM(Q19:S19)</f>
        <v>405.8</v>
      </c>
      <c r="U19" s="66"/>
      <c r="V19" s="54"/>
      <c r="W19" s="54"/>
      <c r="X19" s="54"/>
      <c r="Y19" s="55">
        <f>SUM(V19:X19)</f>
        <v>0</v>
      </c>
      <c r="AA19" s="54"/>
      <c r="AB19" s="70"/>
      <c r="AC19" s="71"/>
      <c r="AD19" s="55">
        <f t="shared" si="5"/>
        <v>0</v>
      </c>
      <c r="AF19" s="55">
        <f>+O19+T19</f>
        <v>1005.6099999999999</v>
      </c>
      <c r="AH19" s="55">
        <f>877.35+128.26</f>
        <v>1005.61</v>
      </c>
      <c r="AJ19" s="55">
        <f>+AF19-AH19</f>
        <v>0</v>
      </c>
    </row>
    <row r="20" spans="2:36" ht="16.5" thickBot="1" x14ac:dyDescent="0.3">
      <c r="B20" s="78" t="s">
        <v>51</v>
      </c>
      <c r="C20" s="67"/>
      <c r="D20" s="51">
        <v>0</v>
      </c>
      <c r="E20" s="51"/>
      <c r="F20" s="51"/>
      <c r="G20" s="51">
        <f t="shared" si="6"/>
        <v>0</v>
      </c>
      <c r="H20" s="52">
        <f>+AF20</f>
        <v>0</v>
      </c>
      <c r="I20" s="42">
        <v>0</v>
      </c>
      <c r="J20" s="52">
        <f t="shared" si="8"/>
        <v>0</v>
      </c>
      <c r="K20" s="53"/>
      <c r="L20" s="72"/>
      <c r="M20" s="72"/>
      <c r="N20" s="72"/>
      <c r="O20" s="55">
        <f>SUM(L20:N20)</f>
        <v>0</v>
      </c>
      <c r="P20" s="73"/>
      <c r="Q20" s="72"/>
      <c r="R20" s="72"/>
      <c r="S20" s="72"/>
      <c r="T20" s="55">
        <f>SUM(Q20:S20)</f>
        <v>0</v>
      </c>
      <c r="U20" s="73"/>
      <c r="V20" s="72"/>
      <c r="W20" s="72"/>
      <c r="X20" s="72"/>
      <c r="Y20" s="55">
        <f>SUM(V20:X20)</f>
        <v>0</v>
      </c>
      <c r="AA20" s="72"/>
      <c r="AB20" s="74"/>
      <c r="AC20" s="75"/>
      <c r="AD20" s="55">
        <f t="shared" si="5"/>
        <v>0</v>
      </c>
      <c r="AF20" s="55">
        <f>+O20+T20</f>
        <v>0</v>
      </c>
      <c r="AH20" s="55"/>
      <c r="AJ20" s="55">
        <f>+AF20-AH20</f>
        <v>0</v>
      </c>
    </row>
    <row r="21" spans="2:36" ht="16.5" thickBot="1" x14ac:dyDescent="0.3">
      <c r="B21" s="39" t="s">
        <v>52</v>
      </c>
      <c r="C21" s="50"/>
      <c r="D21" s="51">
        <v>10800</v>
      </c>
      <c r="E21" s="51">
        <v>-2000</v>
      </c>
      <c r="F21" s="51"/>
      <c r="G21" s="51">
        <f t="shared" si="6"/>
        <v>8800</v>
      </c>
      <c r="H21" s="52">
        <f>+AF21</f>
        <v>4400.6900000000005</v>
      </c>
      <c r="I21" s="42">
        <f t="shared" si="7"/>
        <v>0.50007840909090917</v>
      </c>
      <c r="J21" s="52">
        <f t="shared" si="8"/>
        <v>4399.3099999999995</v>
      </c>
      <c r="K21" s="53"/>
      <c r="L21" s="54">
        <v>888.68</v>
      </c>
      <c r="M21" s="54">
        <f>102.38+42.77</f>
        <v>145.15</v>
      </c>
      <c r="N21" s="54">
        <f>937.4+31.98</f>
        <v>969.38</v>
      </c>
      <c r="O21" s="55">
        <f>SUM(L21:N21)</f>
        <v>2003.21</v>
      </c>
      <c r="P21" s="46"/>
      <c r="Q21" s="54">
        <f>196.65</f>
        <v>196.65</v>
      </c>
      <c r="R21" s="54">
        <v>940.46</v>
      </c>
      <c r="S21" s="54">
        <v>1260.3699999999999</v>
      </c>
      <c r="T21" s="55">
        <f>SUM(Q21:S21)</f>
        <v>2397.48</v>
      </c>
      <c r="U21" s="66"/>
      <c r="V21" s="54"/>
      <c r="W21" s="54"/>
      <c r="X21" s="54"/>
      <c r="Y21" s="55">
        <f>SUM(V21:X21)</f>
        <v>0</v>
      </c>
      <c r="AA21" s="54"/>
      <c r="AB21" s="70"/>
      <c r="AC21" s="71"/>
      <c r="AD21" s="55">
        <f t="shared" si="5"/>
        <v>0</v>
      </c>
      <c r="AF21" s="55">
        <f>+O21+T21</f>
        <v>4400.6900000000005</v>
      </c>
      <c r="AH21" s="55">
        <f>2125.11+74.75</f>
        <v>2199.86</v>
      </c>
      <c r="AJ21" s="55">
        <f>+AF21-AH21</f>
        <v>2200.8300000000004</v>
      </c>
    </row>
    <row r="22" spans="2:36" ht="16.5" thickBot="1" x14ac:dyDescent="0.3">
      <c r="B22" s="58" t="s">
        <v>53</v>
      </c>
      <c r="C22" s="67"/>
      <c r="D22" s="77"/>
      <c r="E22" s="77"/>
      <c r="F22" s="77"/>
      <c r="G22" s="77"/>
      <c r="H22" s="52"/>
      <c r="I22" s="42"/>
      <c r="J22" s="52"/>
      <c r="K22" s="53"/>
      <c r="L22" s="72"/>
      <c r="M22" s="72"/>
      <c r="N22" s="72"/>
      <c r="O22" s="79"/>
      <c r="P22" s="73"/>
      <c r="Q22" s="72"/>
      <c r="R22" s="72"/>
      <c r="S22" s="72"/>
      <c r="T22" s="79"/>
      <c r="U22" s="73"/>
      <c r="V22" s="72"/>
      <c r="W22" s="72"/>
      <c r="X22" s="72"/>
      <c r="Y22" s="79"/>
      <c r="AA22" s="72"/>
      <c r="AB22" s="74"/>
      <c r="AC22" s="75"/>
      <c r="AD22" s="79"/>
      <c r="AF22" s="79"/>
      <c r="AH22" s="79"/>
      <c r="AJ22" s="79"/>
    </row>
    <row r="23" spans="2:36" ht="16.5" thickBot="1" x14ac:dyDescent="0.3">
      <c r="B23" s="39" t="s">
        <v>54</v>
      </c>
      <c r="C23" s="67"/>
      <c r="D23" s="51">
        <v>3640</v>
      </c>
      <c r="E23" s="51">
        <v>-3640</v>
      </c>
      <c r="F23" s="51">
        <v>508</v>
      </c>
      <c r="G23" s="51">
        <f t="shared" ref="G23:G24" si="9">+D23+E23+F23</f>
        <v>508</v>
      </c>
      <c r="H23" s="52">
        <f>+AF23</f>
        <v>508</v>
      </c>
      <c r="I23" s="42">
        <f t="shared" ref="I23:I24" si="10">H23/G23</f>
        <v>1</v>
      </c>
      <c r="J23" s="52">
        <f t="shared" ref="J23:J24" si="11">+G23-H23</f>
        <v>0</v>
      </c>
      <c r="K23" s="53"/>
      <c r="L23" s="72"/>
      <c r="M23" s="72"/>
      <c r="N23" s="72"/>
      <c r="O23" s="55">
        <f>SUM(L23:N23)</f>
        <v>0</v>
      </c>
      <c r="P23" s="73"/>
      <c r="Q23" s="72">
        <v>508</v>
      </c>
      <c r="R23" s="72"/>
      <c r="S23" s="72"/>
      <c r="T23" s="55">
        <f>SUM(Q23:S23)</f>
        <v>508</v>
      </c>
      <c r="U23" s="73"/>
      <c r="V23" s="72"/>
      <c r="W23" s="72"/>
      <c r="X23" s="72"/>
      <c r="Y23" s="55">
        <f>SUM(V23:X23)</f>
        <v>0</v>
      </c>
      <c r="AA23" s="72"/>
      <c r="AB23" s="74"/>
      <c r="AC23" s="75"/>
      <c r="AD23" s="55">
        <f>SUM(AA23:AC23)</f>
        <v>0</v>
      </c>
      <c r="AF23" s="55">
        <f>+O23+T23</f>
        <v>508</v>
      </c>
      <c r="AH23" s="55"/>
      <c r="AJ23" s="55">
        <f>+AF23-AH23</f>
        <v>508</v>
      </c>
    </row>
    <row r="24" spans="2:36" ht="16.5" thickBot="1" x14ac:dyDescent="0.3">
      <c r="B24" s="39" t="s">
        <v>55</v>
      </c>
      <c r="C24" s="67"/>
      <c r="D24" s="51">
        <v>76000</v>
      </c>
      <c r="E24" s="51">
        <v>-20000</v>
      </c>
      <c r="F24" s="51"/>
      <c r="G24" s="51">
        <f t="shared" si="9"/>
        <v>56000</v>
      </c>
      <c r="H24" s="52">
        <f>+AF24</f>
        <v>11744.65</v>
      </c>
      <c r="I24" s="42">
        <f t="shared" si="10"/>
        <v>0.20972589285714285</v>
      </c>
      <c r="J24" s="52">
        <f t="shared" si="11"/>
        <v>44255.35</v>
      </c>
      <c r="K24" s="53"/>
      <c r="L24" s="72"/>
      <c r="M24" s="72">
        <f>11744.65</f>
        <v>11744.65</v>
      </c>
      <c r="N24" s="72"/>
      <c r="O24" s="55">
        <f>SUM(L24:N24)</f>
        <v>11744.65</v>
      </c>
      <c r="P24" s="73"/>
      <c r="Q24" s="72"/>
      <c r="R24" s="72"/>
      <c r="S24" s="72"/>
      <c r="T24" s="55">
        <f>SUM(Q24:S24)</f>
        <v>0</v>
      </c>
      <c r="U24" s="73"/>
      <c r="V24" s="72"/>
      <c r="W24" s="72"/>
      <c r="X24" s="72"/>
      <c r="Y24" s="55">
        <f>SUM(V24:X24)</f>
        <v>0</v>
      </c>
      <c r="AA24" s="72"/>
      <c r="AB24" s="74"/>
      <c r="AC24" s="75"/>
      <c r="AD24" s="55">
        <f t="shared" ref="AD24:AD54" si="12">SUM(AA24:AC24)</f>
        <v>0</v>
      </c>
      <c r="AF24" s="55">
        <f>+O24+T24</f>
        <v>11744.65</v>
      </c>
      <c r="AH24" s="55">
        <f>508+11744.65</f>
        <v>12252.65</v>
      </c>
      <c r="AJ24" s="55">
        <f>+AF24-AH24</f>
        <v>-508</v>
      </c>
    </row>
    <row r="25" spans="2:36" ht="16.5" thickBot="1" x14ac:dyDescent="0.3">
      <c r="B25" s="58" t="s">
        <v>56</v>
      </c>
      <c r="C25" s="67"/>
      <c r="D25" s="77"/>
      <c r="E25" s="77"/>
      <c r="F25" s="77"/>
      <c r="G25" s="77"/>
      <c r="H25" s="52"/>
      <c r="I25" s="42"/>
      <c r="J25" s="52"/>
      <c r="K25" s="53"/>
      <c r="L25" s="72"/>
      <c r="M25" s="72"/>
      <c r="N25" s="72"/>
      <c r="O25" s="79"/>
      <c r="P25" s="73"/>
      <c r="Q25" s="72"/>
      <c r="R25" s="72"/>
      <c r="S25" s="72"/>
      <c r="T25" s="79"/>
      <c r="U25" s="73"/>
      <c r="V25" s="72"/>
      <c r="W25" s="72"/>
      <c r="X25" s="72"/>
      <c r="Y25" s="79"/>
      <c r="AA25" s="72"/>
      <c r="AB25" s="74"/>
      <c r="AC25" s="75"/>
      <c r="AD25" s="79"/>
      <c r="AF25" s="79"/>
      <c r="AH25" s="79"/>
      <c r="AJ25" s="79"/>
    </row>
    <row r="26" spans="2:36" ht="16.5" thickBot="1" x14ac:dyDescent="0.3">
      <c r="B26" s="39" t="s">
        <v>138</v>
      </c>
      <c r="C26" s="67"/>
      <c r="D26" s="51"/>
      <c r="E26" s="51"/>
      <c r="F26" s="51"/>
      <c r="G26" s="51">
        <f t="shared" ref="G26:G28" si="13">+D26+E26+F26</f>
        <v>0</v>
      </c>
      <c r="H26" s="52">
        <f>+AF26</f>
        <v>0</v>
      </c>
      <c r="I26" s="42" t="e">
        <f t="shared" ref="I26:I28" si="14">H26/G26</f>
        <v>#DIV/0!</v>
      </c>
      <c r="J26" s="52">
        <f t="shared" ref="J26:J28" si="15">+G26-H26</f>
        <v>0</v>
      </c>
      <c r="K26" s="53"/>
      <c r="L26" s="72"/>
      <c r="M26" s="72"/>
      <c r="N26" s="72"/>
      <c r="O26" s="55">
        <f>SUM(L26:N26)</f>
        <v>0</v>
      </c>
      <c r="P26" s="73"/>
      <c r="Q26" s="72"/>
      <c r="R26" s="72"/>
      <c r="S26" s="72"/>
      <c r="T26" s="55">
        <f>SUM(Q26:S26)</f>
        <v>0</v>
      </c>
      <c r="U26" s="73"/>
      <c r="V26" s="72"/>
      <c r="W26" s="72"/>
      <c r="X26" s="72"/>
      <c r="Y26" s="55">
        <f>SUM(V26:X26)</f>
        <v>0</v>
      </c>
      <c r="AA26" s="72"/>
      <c r="AB26" s="74"/>
      <c r="AC26" s="75"/>
      <c r="AD26" s="55">
        <f>SUM(AA26:AC26)</f>
        <v>0</v>
      </c>
      <c r="AF26" s="55">
        <f>+O26+T26</f>
        <v>0</v>
      </c>
      <c r="AH26" s="55"/>
      <c r="AJ26" s="55">
        <f>+AF26-AH26</f>
        <v>0</v>
      </c>
    </row>
    <row r="27" spans="2:36" ht="16.5" thickBot="1" x14ac:dyDescent="0.3">
      <c r="B27" s="39" t="s">
        <v>57</v>
      </c>
      <c r="C27" s="67"/>
      <c r="D27" s="51"/>
      <c r="E27" s="51"/>
      <c r="F27" s="51">
        <v>11415</v>
      </c>
      <c r="G27" s="51">
        <f t="shared" si="13"/>
        <v>11415</v>
      </c>
      <c r="H27" s="52">
        <f>+AF27</f>
        <v>1365</v>
      </c>
      <c r="I27" s="42">
        <f t="shared" si="14"/>
        <v>0.11957950065703023</v>
      </c>
      <c r="J27" s="52">
        <f t="shared" si="15"/>
        <v>10050</v>
      </c>
      <c r="K27" s="53"/>
      <c r="L27" s="72"/>
      <c r="M27" s="72"/>
      <c r="N27" s="72"/>
      <c r="O27" s="55">
        <f>SUM(L27:N27)</f>
        <v>0</v>
      </c>
      <c r="P27" s="73"/>
      <c r="Q27" s="72"/>
      <c r="R27" s="72"/>
      <c r="S27" s="72">
        <v>1365</v>
      </c>
      <c r="T27" s="55">
        <f>SUM(Q27:S27)</f>
        <v>1365</v>
      </c>
      <c r="U27" s="73"/>
      <c r="V27" s="72"/>
      <c r="W27" s="72"/>
      <c r="X27" s="72"/>
      <c r="Y27" s="55">
        <f>SUM(V27:X27)</f>
        <v>0</v>
      </c>
      <c r="AA27" s="72"/>
      <c r="AB27" s="74"/>
      <c r="AC27" s="75"/>
      <c r="AD27" s="55">
        <f>SUM(AA27:AC27)</f>
        <v>0</v>
      </c>
      <c r="AF27" s="55">
        <f>+O27+T27</f>
        <v>1365</v>
      </c>
      <c r="AH27" s="55"/>
      <c r="AJ27" s="55">
        <f>+AF27-AH27</f>
        <v>1365</v>
      </c>
    </row>
    <row r="28" spans="2:36" ht="16.5" thickBot="1" x14ac:dyDescent="0.3">
      <c r="B28" s="39" t="s">
        <v>58</v>
      </c>
      <c r="C28" s="67"/>
      <c r="D28" s="51"/>
      <c r="E28" s="51"/>
      <c r="F28" s="51">
        <f>10000+6800</f>
        <v>16800</v>
      </c>
      <c r="G28" s="51">
        <f t="shared" si="13"/>
        <v>16800</v>
      </c>
      <c r="H28" s="52">
        <f>+AF28</f>
        <v>4048.5</v>
      </c>
      <c r="I28" s="42">
        <f t="shared" si="14"/>
        <v>0.24098214285714287</v>
      </c>
      <c r="J28" s="52">
        <f t="shared" si="15"/>
        <v>12751.5</v>
      </c>
      <c r="K28" s="53"/>
      <c r="L28" s="72"/>
      <c r="M28" s="72"/>
      <c r="N28" s="72"/>
      <c r="O28" s="55">
        <f>SUM(L28:N28)</f>
        <v>0</v>
      </c>
      <c r="P28" s="73"/>
      <c r="Q28" s="72"/>
      <c r="R28" s="72"/>
      <c r="S28" s="72">
        <v>4048.5</v>
      </c>
      <c r="T28" s="55">
        <f>SUM(Q28:S28)</f>
        <v>4048.5</v>
      </c>
      <c r="U28" s="73"/>
      <c r="V28" s="72"/>
      <c r="W28" s="72"/>
      <c r="X28" s="72"/>
      <c r="Y28" s="55">
        <f>SUM(V28:X28)</f>
        <v>0</v>
      </c>
      <c r="AA28" s="72"/>
      <c r="AB28" s="74"/>
      <c r="AC28" s="75"/>
      <c r="AD28" s="55">
        <f>SUM(AA28:AC28)</f>
        <v>0</v>
      </c>
      <c r="AF28" s="55">
        <f>+O28+T28</f>
        <v>4048.5</v>
      </c>
      <c r="AH28" s="55">
        <f>508+11744.65</f>
        <v>12252.65</v>
      </c>
      <c r="AJ28" s="55">
        <f>+AF28-AH28</f>
        <v>-8204.15</v>
      </c>
    </row>
    <row r="29" spans="2:36" ht="16.5" thickBot="1" x14ac:dyDescent="0.3">
      <c r="B29" s="58" t="s">
        <v>59</v>
      </c>
      <c r="C29" s="67"/>
      <c r="D29" s="77"/>
      <c r="E29" s="77"/>
      <c r="F29" s="77"/>
      <c r="G29" s="77"/>
      <c r="H29" s="52"/>
      <c r="I29" s="42"/>
      <c r="J29" s="52"/>
      <c r="K29" s="53"/>
      <c r="L29" s="72"/>
      <c r="M29" s="72"/>
      <c r="N29" s="72"/>
      <c r="O29" s="79"/>
      <c r="P29" s="73"/>
      <c r="Q29" s="72"/>
      <c r="R29" s="72"/>
      <c r="S29" s="72"/>
      <c r="T29" s="79"/>
      <c r="U29" s="73"/>
      <c r="V29" s="72"/>
      <c r="W29" s="72"/>
      <c r="X29" s="72"/>
      <c r="Y29" s="79"/>
      <c r="AA29" s="72"/>
      <c r="AB29" s="74"/>
      <c r="AC29" s="75"/>
      <c r="AD29" s="55"/>
      <c r="AF29" s="79"/>
      <c r="AH29" s="79"/>
      <c r="AJ29" s="79"/>
    </row>
    <row r="30" spans="2:36" ht="16.5" thickBot="1" x14ac:dyDescent="0.3">
      <c r="B30" s="78" t="s">
        <v>60</v>
      </c>
      <c r="C30" s="67"/>
      <c r="D30" s="51">
        <v>5500</v>
      </c>
      <c r="E30" s="51"/>
      <c r="F30" s="51"/>
      <c r="G30" s="51">
        <f t="shared" ref="G30:G40" si="16">+D30+E30+F30</f>
        <v>5500</v>
      </c>
      <c r="H30" s="52">
        <f t="shared" ref="H30:H39" si="17">+AF30</f>
        <v>1145</v>
      </c>
      <c r="I30" s="42">
        <f t="shared" ref="I30:I39" si="18">H30/G30</f>
        <v>0.20818181818181819</v>
      </c>
      <c r="J30" s="52">
        <f t="shared" ref="J30:J40" si="19">+G30-H30</f>
        <v>4355</v>
      </c>
      <c r="K30" s="53"/>
      <c r="L30" s="54">
        <v>246</v>
      </c>
      <c r="M30" s="54"/>
      <c r="N30" s="54"/>
      <c r="O30" s="55">
        <f t="shared" ref="O30:O40" si="20">SUM(L30:N30)</f>
        <v>246</v>
      </c>
      <c r="P30" s="46"/>
      <c r="Q30" s="54"/>
      <c r="R30" s="54"/>
      <c r="S30" s="54">
        <v>899</v>
      </c>
      <c r="T30" s="55">
        <f t="shared" ref="T30:T40" si="21">SUM(Q30:S30)</f>
        <v>899</v>
      </c>
      <c r="U30" s="66"/>
      <c r="V30" s="54"/>
      <c r="W30" s="54"/>
      <c r="X30" s="54"/>
      <c r="Y30" s="55">
        <f t="shared" ref="Y30:Y38" si="22">SUM(V30:X30)</f>
        <v>0</v>
      </c>
      <c r="AA30" s="54"/>
      <c r="AB30" s="70"/>
      <c r="AC30" s="71"/>
      <c r="AD30" s="55">
        <f t="shared" si="12"/>
        <v>0</v>
      </c>
      <c r="AF30" s="55">
        <f t="shared" ref="AF30:AF40" si="23">+O30+T30</f>
        <v>1145</v>
      </c>
      <c r="AH30" s="55">
        <v>246</v>
      </c>
      <c r="AJ30" s="55">
        <f t="shared" ref="AJ30:AJ54" si="24">+AF30-AH30</f>
        <v>899</v>
      </c>
    </row>
    <row r="31" spans="2:36" ht="16.5" thickBot="1" x14ac:dyDescent="0.3">
      <c r="B31" s="39" t="s">
        <v>61</v>
      </c>
      <c r="C31" s="67"/>
      <c r="D31" s="51">
        <v>19000</v>
      </c>
      <c r="E31" s="51"/>
      <c r="F31" s="51">
        <v>-1776.8</v>
      </c>
      <c r="G31" s="51">
        <f t="shared" si="16"/>
        <v>17223.2</v>
      </c>
      <c r="H31" s="52">
        <f t="shared" si="17"/>
        <v>2645</v>
      </c>
      <c r="I31" s="42">
        <f t="shared" si="18"/>
        <v>0.15357192623902644</v>
      </c>
      <c r="J31" s="52">
        <f t="shared" si="19"/>
        <v>14578.2</v>
      </c>
      <c r="K31" s="53"/>
      <c r="L31" s="72"/>
      <c r="M31" s="72"/>
      <c r="N31" s="72"/>
      <c r="O31" s="55">
        <f t="shared" si="20"/>
        <v>0</v>
      </c>
      <c r="P31" s="73"/>
      <c r="Q31" s="72">
        <v>172.5</v>
      </c>
      <c r="R31" s="72"/>
      <c r="S31" s="72">
        <v>2472.5</v>
      </c>
      <c r="T31" s="55">
        <f t="shared" si="21"/>
        <v>2645</v>
      </c>
      <c r="U31" s="73"/>
      <c r="V31" s="72"/>
      <c r="W31" s="72"/>
      <c r="X31" s="72"/>
      <c r="Y31" s="55">
        <f t="shared" si="22"/>
        <v>0</v>
      </c>
      <c r="AA31" s="72"/>
      <c r="AB31" s="74"/>
      <c r="AC31" s="75"/>
      <c r="AD31" s="55">
        <f t="shared" si="12"/>
        <v>0</v>
      </c>
      <c r="AF31" s="55">
        <f t="shared" si="23"/>
        <v>2645</v>
      </c>
      <c r="AH31" s="55">
        <v>172.5</v>
      </c>
      <c r="AJ31" s="55">
        <f t="shared" si="24"/>
        <v>2472.5</v>
      </c>
    </row>
    <row r="32" spans="2:36" ht="16.5" thickBot="1" x14ac:dyDescent="0.3">
      <c r="B32" s="39" t="s">
        <v>62</v>
      </c>
      <c r="C32" s="67"/>
      <c r="D32" s="51">
        <v>32500</v>
      </c>
      <c r="E32" s="51"/>
      <c r="F32" s="51">
        <v>-15000</v>
      </c>
      <c r="G32" s="51">
        <f t="shared" si="16"/>
        <v>17500</v>
      </c>
      <c r="H32" s="52">
        <f t="shared" si="17"/>
        <v>0</v>
      </c>
      <c r="I32" s="42">
        <f t="shared" ref="I32" si="25">H32/D32</f>
        <v>0</v>
      </c>
      <c r="J32" s="52">
        <f t="shared" si="19"/>
        <v>17500</v>
      </c>
      <c r="K32" s="53"/>
      <c r="L32" s="72"/>
      <c r="M32" s="72"/>
      <c r="N32" s="72"/>
      <c r="O32" s="55">
        <f t="shared" si="20"/>
        <v>0</v>
      </c>
      <c r="P32" s="73"/>
      <c r="Q32" s="72"/>
      <c r="R32" s="72"/>
      <c r="S32" s="72"/>
      <c r="T32" s="55">
        <f t="shared" si="21"/>
        <v>0</v>
      </c>
      <c r="U32" s="73"/>
      <c r="V32" s="72"/>
      <c r="W32" s="72"/>
      <c r="X32" s="72"/>
      <c r="Y32" s="55">
        <f t="shared" si="22"/>
        <v>0</v>
      </c>
      <c r="AA32" s="72"/>
      <c r="AB32" s="74"/>
      <c r="AC32" s="75"/>
      <c r="AD32" s="55">
        <f t="shared" si="12"/>
        <v>0</v>
      </c>
      <c r="AF32" s="55">
        <f t="shared" si="23"/>
        <v>0</v>
      </c>
      <c r="AH32" s="55"/>
      <c r="AJ32" s="55">
        <f t="shared" si="24"/>
        <v>0</v>
      </c>
    </row>
    <row r="33" spans="2:38" ht="16.5" thickBot="1" x14ac:dyDescent="0.3">
      <c r="B33" s="39" t="s">
        <v>63</v>
      </c>
      <c r="C33" s="67"/>
      <c r="D33" s="80">
        <v>6720</v>
      </c>
      <c r="E33" s="80"/>
      <c r="F33" s="80"/>
      <c r="G33" s="51">
        <f t="shared" si="16"/>
        <v>6720</v>
      </c>
      <c r="H33" s="52">
        <f t="shared" si="17"/>
        <v>2125</v>
      </c>
      <c r="I33" s="42">
        <f t="shared" si="18"/>
        <v>0.31622023809523808</v>
      </c>
      <c r="J33" s="52">
        <f t="shared" si="19"/>
        <v>4595</v>
      </c>
      <c r="K33" s="53"/>
      <c r="L33" s="54">
        <f>195</f>
        <v>195</v>
      </c>
      <c r="M33" s="54"/>
      <c r="N33" s="54">
        <f>80</f>
        <v>80</v>
      </c>
      <c r="O33" s="62">
        <f t="shared" si="20"/>
        <v>275</v>
      </c>
      <c r="P33" s="46"/>
      <c r="Q33" s="54"/>
      <c r="R33" s="54">
        <v>1120</v>
      </c>
      <c r="S33" s="54">
        <f>170+560</f>
        <v>730</v>
      </c>
      <c r="T33" s="55">
        <f t="shared" si="21"/>
        <v>1850</v>
      </c>
      <c r="U33" s="46"/>
      <c r="V33" s="54"/>
      <c r="W33" s="54"/>
      <c r="X33" s="54"/>
      <c r="Y33" s="62">
        <f t="shared" si="22"/>
        <v>0</v>
      </c>
      <c r="AA33" s="54"/>
      <c r="AB33" s="70"/>
      <c r="AC33" s="71"/>
      <c r="AD33" s="55">
        <f t="shared" si="12"/>
        <v>0</v>
      </c>
      <c r="AF33" s="55">
        <f t="shared" si="23"/>
        <v>2125</v>
      </c>
      <c r="AH33" s="55">
        <f>275</f>
        <v>275</v>
      </c>
      <c r="AJ33" s="55">
        <f t="shared" si="24"/>
        <v>1850</v>
      </c>
    </row>
    <row r="34" spans="2:38" ht="16.5" thickBot="1" x14ac:dyDescent="0.3">
      <c r="B34" s="39" t="s">
        <v>140</v>
      </c>
      <c r="C34" s="67"/>
      <c r="D34" s="51">
        <v>17200</v>
      </c>
      <c r="E34" s="51"/>
      <c r="F34" s="51"/>
      <c r="G34" s="51">
        <f t="shared" si="16"/>
        <v>17200</v>
      </c>
      <c r="H34" s="52">
        <f t="shared" si="17"/>
        <v>7453.5</v>
      </c>
      <c r="I34" s="42">
        <f t="shared" si="18"/>
        <v>0.43334302325581397</v>
      </c>
      <c r="J34" s="52">
        <f t="shared" si="19"/>
        <v>9746.5</v>
      </c>
      <c r="K34" s="53"/>
      <c r="L34" s="72">
        <f>516+693.91+207.36</f>
        <v>1417.27</v>
      </c>
      <c r="M34" s="72">
        <f>421.94+204</f>
        <v>625.94000000000005</v>
      </c>
      <c r="N34" s="72">
        <f>477.12+192.4+321</f>
        <v>990.52</v>
      </c>
      <c r="O34" s="55">
        <f t="shared" si="20"/>
        <v>3033.73</v>
      </c>
      <c r="P34" s="73"/>
      <c r="Q34" s="72">
        <f>239.04+1062.02+301.49</f>
        <v>1602.55</v>
      </c>
      <c r="R34" s="72">
        <f>778.28+728.76</f>
        <v>1507.04</v>
      </c>
      <c r="S34" s="72">
        <f>410.04+728.76+171.38</f>
        <v>1310.1799999999998</v>
      </c>
      <c r="T34" s="55">
        <f t="shared" si="21"/>
        <v>4419.7700000000004</v>
      </c>
      <c r="U34" s="81"/>
      <c r="V34" s="72"/>
      <c r="W34" s="72"/>
      <c r="X34" s="72"/>
      <c r="Y34" s="55">
        <f t="shared" si="22"/>
        <v>0</v>
      </c>
      <c r="AA34" s="72"/>
      <c r="AB34" s="74"/>
      <c r="AC34" s="75"/>
      <c r="AD34" s="55">
        <f t="shared" si="12"/>
        <v>0</v>
      </c>
      <c r="AF34" s="55">
        <f t="shared" si="23"/>
        <v>7453.5</v>
      </c>
      <c r="AH34" s="55">
        <f>1280.04+2654.99+701.25</f>
        <v>4636.28</v>
      </c>
      <c r="AJ34" s="55">
        <f t="shared" si="24"/>
        <v>2817.2200000000003</v>
      </c>
    </row>
    <row r="35" spans="2:38" ht="16.5" thickBot="1" x14ac:dyDescent="0.3">
      <c r="B35" s="39" t="s">
        <v>65</v>
      </c>
      <c r="C35" s="67"/>
      <c r="D35" s="51">
        <v>20000</v>
      </c>
      <c r="E35" s="51">
        <v>-17633.439999999999</v>
      </c>
      <c r="F35" s="51">
        <v>1254.8</v>
      </c>
      <c r="G35" s="51">
        <f t="shared" si="16"/>
        <v>3621.3600000000015</v>
      </c>
      <c r="H35" s="52">
        <f t="shared" si="17"/>
        <v>366.56</v>
      </c>
      <c r="I35" s="42">
        <f t="shared" si="18"/>
        <v>0.10122164048865616</v>
      </c>
      <c r="J35" s="52">
        <f t="shared" si="19"/>
        <v>3254.8000000000015</v>
      </c>
      <c r="K35" s="53"/>
      <c r="L35" s="72"/>
      <c r="M35" s="72"/>
      <c r="N35" s="72">
        <v>366.56</v>
      </c>
      <c r="O35" s="55">
        <f t="shared" si="20"/>
        <v>366.56</v>
      </c>
      <c r="P35" s="73"/>
      <c r="Q35" s="72"/>
      <c r="R35" s="72"/>
      <c r="S35" s="72"/>
      <c r="T35" s="55">
        <f t="shared" si="21"/>
        <v>0</v>
      </c>
      <c r="U35" s="73"/>
      <c r="V35" s="72"/>
      <c r="W35" s="72"/>
      <c r="X35" s="72"/>
      <c r="Y35" s="55"/>
      <c r="AA35" s="72"/>
      <c r="AB35" s="74"/>
      <c r="AC35" s="75"/>
      <c r="AD35" s="55"/>
      <c r="AF35" s="55">
        <f t="shared" si="23"/>
        <v>366.56</v>
      </c>
      <c r="AH35" s="55">
        <v>366.56</v>
      </c>
      <c r="AJ35" s="55">
        <f t="shared" si="24"/>
        <v>0</v>
      </c>
    </row>
    <row r="36" spans="2:38" ht="16.5" thickBot="1" x14ac:dyDescent="0.3">
      <c r="B36" s="39" t="s">
        <v>66</v>
      </c>
      <c r="C36" s="67"/>
      <c r="D36" s="51">
        <v>12000</v>
      </c>
      <c r="E36" s="51"/>
      <c r="F36" s="51"/>
      <c r="G36" s="51">
        <f t="shared" si="16"/>
        <v>12000</v>
      </c>
      <c r="H36" s="52">
        <f t="shared" si="17"/>
        <v>0</v>
      </c>
      <c r="I36" s="42">
        <f t="shared" si="18"/>
        <v>0</v>
      </c>
      <c r="J36" s="52">
        <f t="shared" si="19"/>
        <v>12000</v>
      </c>
      <c r="K36" s="53"/>
      <c r="L36" s="72"/>
      <c r="M36" s="72"/>
      <c r="N36" s="72"/>
      <c r="O36" s="55"/>
      <c r="P36" s="73"/>
      <c r="Q36" s="72"/>
      <c r="R36" s="72"/>
      <c r="S36" s="72"/>
      <c r="T36" s="55">
        <f t="shared" si="21"/>
        <v>0</v>
      </c>
      <c r="U36" s="73"/>
      <c r="V36" s="72"/>
      <c r="W36" s="72"/>
      <c r="X36" s="72"/>
      <c r="Y36" s="55"/>
      <c r="AA36" s="72"/>
      <c r="AB36" s="74"/>
      <c r="AC36" s="75"/>
      <c r="AD36" s="55"/>
      <c r="AF36" s="55">
        <f t="shared" si="23"/>
        <v>0</v>
      </c>
      <c r="AH36" s="55"/>
      <c r="AJ36" s="55">
        <f t="shared" si="24"/>
        <v>0</v>
      </c>
    </row>
    <row r="37" spans="2:38" ht="16.5" thickBot="1" x14ac:dyDescent="0.3">
      <c r="B37" s="39" t="s">
        <v>67</v>
      </c>
      <c r="C37" s="67"/>
      <c r="D37" s="51">
        <v>3500</v>
      </c>
      <c r="E37" s="51"/>
      <c r="F37" s="51"/>
      <c r="G37" s="51">
        <f t="shared" si="16"/>
        <v>3500</v>
      </c>
      <c r="H37" s="52">
        <f t="shared" si="17"/>
        <v>1141.6300000000001</v>
      </c>
      <c r="I37" s="42">
        <f t="shared" si="18"/>
        <v>0.32618000000000003</v>
      </c>
      <c r="J37" s="52">
        <f t="shared" si="19"/>
        <v>2358.37</v>
      </c>
      <c r="K37" s="53"/>
      <c r="L37" s="72">
        <v>250.2</v>
      </c>
      <c r="M37" s="72"/>
      <c r="N37" s="72">
        <f>59.57</f>
        <v>59.57</v>
      </c>
      <c r="O37" s="55">
        <f t="shared" si="20"/>
        <v>309.77</v>
      </c>
      <c r="P37" s="73"/>
      <c r="Q37" s="72">
        <f>289</f>
        <v>289</v>
      </c>
      <c r="R37" s="72">
        <f>376.06+166.8</f>
        <v>542.86</v>
      </c>
      <c r="S37" s="72"/>
      <c r="T37" s="55">
        <f t="shared" si="21"/>
        <v>831.86</v>
      </c>
      <c r="U37" s="73"/>
      <c r="V37" s="72"/>
      <c r="W37" s="72"/>
      <c r="X37" s="72"/>
      <c r="Y37" s="55">
        <f t="shared" si="22"/>
        <v>0</v>
      </c>
      <c r="AA37" s="72"/>
      <c r="AB37" s="74"/>
      <c r="AC37" s="75"/>
      <c r="AD37" s="55">
        <f t="shared" si="12"/>
        <v>0</v>
      </c>
      <c r="AF37" s="55">
        <f t="shared" si="23"/>
        <v>1141.6300000000001</v>
      </c>
      <c r="AH37" s="55">
        <f>309.77+289</f>
        <v>598.77</v>
      </c>
      <c r="AJ37" s="55">
        <f t="shared" si="24"/>
        <v>542.86000000000013</v>
      </c>
    </row>
    <row r="38" spans="2:38" ht="16.5" thickBot="1" x14ac:dyDescent="0.3">
      <c r="B38" s="39" t="s">
        <v>68</v>
      </c>
      <c r="C38" s="67"/>
      <c r="D38" s="51">
        <v>3025</v>
      </c>
      <c r="E38" s="51"/>
      <c r="F38" s="51"/>
      <c r="G38" s="51">
        <f t="shared" si="16"/>
        <v>3025</v>
      </c>
      <c r="H38" s="52">
        <f t="shared" si="17"/>
        <v>1172.49</v>
      </c>
      <c r="I38" s="42">
        <f t="shared" si="18"/>
        <v>0.3876</v>
      </c>
      <c r="J38" s="52">
        <f t="shared" si="19"/>
        <v>1852.51</v>
      </c>
      <c r="K38" s="53"/>
      <c r="L38" s="72">
        <f>140.8+70.4+69</f>
        <v>280.20000000000005</v>
      </c>
      <c r="M38" s="72"/>
      <c r="N38" s="72">
        <f>86.64+296.77+69</f>
        <v>452.40999999999997</v>
      </c>
      <c r="O38" s="55">
        <f t="shared" si="20"/>
        <v>732.61</v>
      </c>
      <c r="P38" s="73"/>
      <c r="Q38" s="72">
        <f>5</f>
        <v>5</v>
      </c>
      <c r="R38" s="72">
        <v>168</v>
      </c>
      <c r="S38" s="72">
        <f>97.48+70.4+99</f>
        <v>266.88</v>
      </c>
      <c r="T38" s="55">
        <f t="shared" si="21"/>
        <v>439.88</v>
      </c>
      <c r="U38" s="73"/>
      <c r="V38" s="72"/>
      <c r="W38" s="72"/>
      <c r="X38" s="72"/>
      <c r="Y38" s="55">
        <f t="shared" si="22"/>
        <v>0</v>
      </c>
      <c r="AA38" s="72"/>
      <c r="AB38" s="74"/>
      <c r="AC38" s="75"/>
      <c r="AD38" s="55">
        <f t="shared" si="12"/>
        <v>0</v>
      </c>
      <c r="AF38" s="55">
        <f t="shared" si="23"/>
        <v>1172.49</v>
      </c>
      <c r="AH38" s="55">
        <f>227.44+367.17+143</f>
        <v>737.61</v>
      </c>
      <c r="AJ38" s="55">
        <f t="shared" si="24"/>
        <v>434.88</v>
      </c>
    </row>
    <row r="39" spans="2:38" ht="16.5" thickBot="1" x14ac:dyDescent="0.3">
      <c r="B39" s="39" t="s">
        <v>69</v>
      </c>
      <c r="C39" s="67"/>
      <c r="D39" s="51">
        <v>5800</v>
      </c>
      <c r="E39" s="51"/>
      <c r="F39" s="51"/>
      <c r="G39" s="51">
        <f t="shared" si="16"/>
        <v>5800</v>
      </c>
      <c r="H39" s="52">
        <f t="shared" si="17"/>
        <v>1400.2</v>
      </c>
      <c r="I39" s="42">
        <f t="shared" si="18"/>
        <v>0.24141379310344829</v>
      </c>
      <c r="J39" s="52">
        <f t="shared" si="19"/>
        <v>4399.8</v>
      </c>
      <c r="K39" s="53"/>
      <c r="L39" s="72"/>
      <c r="M39" s="72">
        <v>114</v>
      </c>
      <c r="N39" s="72">
        <v>1286.2</v>
      </c>
      <c r="O39" s="55">
        <f t="shared" si="20"/>
        <v>1400.2</v>
      </c>
      <c r="P39" s="73"/>
      <c r="Q39" s="72"/>
      <c r="R39" s="72"/>
      <c r="S39" s="72"/>
      <c r="T39" s="55">
        <f t="shared" si="21"/>
        <v>0</v>
      </c>
      <c r="U39" s="73"/>
      <c r="V39" s="72"/>
      <c r="W39" s="72"/>
      <c r="X39" s="72"/>
      <c r="Y39" s="55"/>
      <c r="AA39" s="72"/>
      <c r="AB39" s="74"/>
      <c r="AC39" s="75"/>
      <c r="AD39" s="55"/>
      <c r="AF39" s="55">
        <f t="shared" si="23"/>
        <v>1400.2</v>
      </c>
      <c r="AH39" s="55">
        <f>1400.2</f>
        <v>1400.2</v>
      </c>
      <c r="AJ39" s="55">
        <f t="shared" si="24"/>
        <v>0</v>
      </c>
    </row>
    <row r="40" spans="2:38" ht="16.5" thickBot="1" x14ac:dyDescent="0.3">
      <c r="B40" s="39" t="s">
        <v>70</v>
      </c>
      <c r="C40" s="67"/>
      <c r="D40" s="51">
        <v>6800</v>
      </c>
      <c r="E40" s="51"/>
      <c r="F40" s="51">
        <v>-6800</v>
      </c>
      <c r="G40" s="51">
        <f t="shared" si="16"/>
        <v>0</v>
      </c>
      <c r="H40" s="52">
        <v>0</v>
      </c>
      <c r="I40" s="42">
        <v>0</v>
      </c>
      <c r="J40" s="52">
        <f t="shared" si="19"/>
        <v>0</v>
      </c>
      <c r="K40" s="53"/>
      <c r="L40" s="72">
        <v>454</v>
      </c>
      <c r="M40" s="72">
        <v>507</v>
      </c>
      <c r="N40" s="72"/>
      <c r="O40" s="55">
        <f t="shared" si="20"/>
        <v>961</v>
      </c>
      <c r="P40" s="73"/>
      <c r="Q40" s="72">
        <v>58.73</v>
      </c>
      <c r="R40" s="72"/>
      <c r="S40" s="72"/>
      <c r="T40" s="55">
        <f t="shared" si="21"/>
        <v>58.73</v>
      </c>
      <c r="U40" s="73"/>
      <c r="V40" s="72"/>
      <c r="W40" s="72"/>
      <c r="X40" s="72"/>
      <c r="Y40" s="55"/>
      <c r="AA40" s="72"/>
      <c r="AB40" s="74"/>
      <c r="AC40" s="75"/>
      <c r="AD40" s="55"/>
      <c r="AF40" s="55">
        <f t="shared" si="23"/>
        <v>1019.73</v>
      </c>
      <c r="AH40" s="55">
        <f>58.73+961</f>
        <v>1019.73</v>
      </c>
      <c r="AJ40" s="55">
        <f t="shared" si="24"/>
        <v>0</v>
      </c>
    </row>
    <row r="41" spans="2:38" ht="16.5" thickBot="1" x14ac:dyDescent="0.3">
      <c r="B41" s="58" t="s">
        <v>71</v>
      </c>
      <c r="C41" s="67"/>
      <c r="D41" s="77"/>
      <c r="E41" s="77"/>
      <c r="F41" s="77"/>
      <c r="G41" s="77"/>
      <c r="H41" s="52"/>
      <c r="I41" s="42"/>
      <c r="J41" s="52"/>
      <c r="K41" s="53"/>
      <c r="L41" s="72"/>
      <c r="M41" s="72"/>
      <c r="N41" s="72"/>
      <c r="O41" s="79"/>
      <c r="P41" s="73"/>
      <c r="Q41" s="72"/>
      <c r="R41" s="72"/>
      <c r="S41" s="72"/>
      <c r="T41" s="79"/>
      <c r="U41" s="73"/>
      <c r="V41" s="72"/>
      <c r="W41" s="72"/>
      <c r="X41" s="72"/>
      <c r="Y41" s="79"/>
      <c r="AA41" s="72"/>
      <c r="AB41" s="74"/>
      <c r="AC41" s="75"/>
      <c r="AD41" s="79"/>
      <c r="AF41" s="79"/>
      <c r="AH41" s="79"/>
      <c r="AJ41" s="55"/>
    </row>
    <row r="42" spans="2:38" ht="16.5" thickBot="1" x14ac:dyDescent="0.3">
      <c r="B42" s="39" t="s">
        <v>72</v>
      </c>
      <c r="C42" s="67"/>
      <c r="D42" s="51">
        <v>350</v>
      </c>
      <c r="E42" s="51"/>
      <c r="F42" s="51">
        <v>1000</v>
      </c>
      <c r="G42" s="51">
        <f t="shared" ref="G42:G54" si="26">+D42+E42+F42</f>
        <v>1350</v>
      </c>
      <c r="H42" s="52">
        <f t="shared" ref="H42:H54" si="27">+AF42</f>
        <v>583.57999999999993</v>
      </c>
      <c r="I42" s="42">
        <f t="shared" ref="I42:I55" si="28">H42/G42</f>
        <v>0.43228148148148143</v>
      </c>
      <c r="J42" s="52">
        <f t="shared" ref="J42:J54" si="29">+G42-H42</f>
        <v>766.42000000000007</v>
      </c>
      <c r="K42" s="53"/>
      <c r="L42" s="72"/>
      <c r="M42" s="72">
        <v>34.64</v>
      </c>
      <c r="N42" s="72">
        <v>275.89</v>
      </c>
      <c r="O42" s="55">
        <f t="shared" ref="O42:O54" si="30">SUM(L42:N42)</f>
        <v>310.52999999999997</v>
      </c>
      <c r="P42" s="73"/>
      <c r="Q42" s="72"/>
      <c r="R42" s="72">
        <v>273.05</v>
      </c>
      <c r="S42" s="72"/>
      <c r="T42" s="55">
        <f t="shared" ref="T42:T54" si="31">SUM(Q42:S42)</f>
        <v>273.05</v>
      </c>
      <c r="U42" s="73"/>
      <c r="V42" s="72"/>
      <c r="W42" s="72"/>
      <c r="X42" s="72"/>
      <c r="Y42" s="55">
        <f t="shared" ref="Y42:Y54" si="32">SUM(V42:X42)</f>
        <v>0</v>
      </c>
      <c r="AA42" s="72"/>
      <c r="AB42" s="74"/>
      <c r="AC42" s="75"/>
      <c r="AD42" s="55">
        <f t="shared" si="12"/>
        <v>0</v>
      </c>
      <c r="AF42" s="55">
        <f t="shared" ref="AF42:AF54" si="33">+O42+T42</f>
        <v>583.57999999999993</v>
      </c>
      <c r="AH42" s="55">
        <f>1517.53-246-961</f>
        <v>310.52999999999997</v>
      </c>
      <c r="AJ42" s="55">
        <f t="shared" si="24"/>
        <v>273.04999999999995</v>
      </c>
    </row>
    <row r="43" spans="2:38" ht="16.5" thickBot="1" x14ac:dyDescent="0.3">
      <c r="B43" s="39" t="s">
        <v>73</v>
      </c>
      <c r="C43" s="67"/>
      <c r="D43" s="51">
        <v>32600</v>
      </c>
      <c r="E43" s="51"/>
      <c r="F43" s="51"/>
      <c r="G43" s="51">
        <f t="shared" si="26"/>
        <v>32600</v>
      </c>
      <c r="H43" s="52">
        <f t="shared" si="27"/>
        <v>16949.62</v>
      </c>
      <c r="I43" s="42">
        <f t="shared" si="28"/>
        <v>0.51992699386503061</v>
      </c>
      <c r="J43" s="52">
        <f t="shared" si="29"/>
        <v>15650.380000000001</v>
      </c>
      <c r="K43" s="53"/>
      <c r="L43" s="54">
        <v>4449.62</v>
      </c>
      <c r="M43" s="54">
        <v>2500</v>
      </c>
      <c r="N43" s="54">
        <v>2500</v>
      </c>
      <c r="O43" s="55">
        <f t="shared" si="30"/>
        <v>9449.619999999999</v>
      </c>
      <c r="P43" s="46"/>
      <c r="Q43" s="54">
        <v>2500</v>
      </c>
      <c r="R43" s="72">
        <v>2500</v>
      </c>
      <c r="S43" s="54">
        <v>2500</v>
      </c>
      <c r="T43" s="55">
        <f t="shared" si="31"/>
        <v>7500</v>
      </c>
      <c r="U43" s="66"/>
      <c r="V43" s="54"/>
      <c r="W43" s="54"/>
      <c r="X43" s="54"/>
      <c r="Y43" s="55">
        <f t="shared" si="32"/>
        <v>0</v>
      </c>
      <c r="AA43" s="54"/>
      <c r="AB43" s="70"/>
      <c r="AC43" s="71"/>
      <c r="AD43" s="55">
        <f t="shared" si="12"/>
        <v>0</v>
      </c>
      <c r="AF43" s="55">
        <f t="shared" si="33"/>
        <v>16949.62</v>
      </c>
      <c r="AH43" s="55">
        <v>11949.62</v>
      </c>
      <c r="AJ43" s="55">
        <f t="shared" si="24"/>
        <v>4999.9999999999982</v>
      </c>
    </row>
    <row r="44" spans="2:38" ht="16.5" thickBot="1" x14ac:dyDescent="0.3">
      <c r="B44" s="39" t="s">
        <v>74</v>
      </c>
      <c r="C44" s="67"/>
      <c r="D44" s="51">
        <v>13800</v>
      </c>
      <c r="E44" s="51"/>
      <c r="F44" s="51"/>
      <c r="G44" s="51">
        <f t="shared" si="26"/>
        <v>13800</v>
      </c>
      <c r="H44" s="52">
        <f t="shared" si="27"/>
        <v>7103.2999999999993</v>
      </c>
      <c r="I44" s="42">
        <f t="shared" si="28"/>
        <v>0.51473188405797099</v>
      </c>
      <c r="J44" s="52">
        <f t="shared" si="29"/>
        <v>6696.7000000000007</v>
      </c>
      <c r="K44" s="53"/>
      <c r="L44" s="72">
        <f>882.09+242.47</f>
        <v>1124.56</v>
      </c>
      <c r="M44" s="72">
        <f>530.88</f>
        <v>530.88</v>
      </c>
      <c r="N44" s="72">
        <f>1714.41+540.88</f>
        <v>2255.29</v>
      </c>
      <c r="O44" s="55">
        <f t="shared" si="30"/>
        <v>3910.73</v>
      </c>
      <c r="P44" s="73"/>
      <c r="Q44" s="72">
        <v>475.86</v>
      </c>
      <c r="R44" s="72">
        <f>205.86</f>
        <v>205.86</v>
      </c>
      <c r="S44" s="72">
        <f>1457.81+1053.04</f>
        <v>2510.85</v>
      </c>
      <c r="T44" s="55">
        <f t="shared" si="31"/>
        <v>3192.5699999999997</v>
      </c>
      <c r="U44" s="73"/>
      <c r="V44" s="72"/>
      <c r="W44" s="72"/>
      <c r="X44" s="72"/>
      <c r="Y44" s="55">
        <f t="shared" si="32"/>
        <v>0</v>
      </c>
      <c r="AA44" s="72"/>
      <c r="AB44" s="74"/>
      <c r="AC44" s="75"/>
      <c r="AD44" s="55">
        <f t="shared" si="12"/>
        <v>0</v>
      </c>
      <c r="AF44" s="55">
        <f t="shared" si="33"/>
        <v>7103.2999999999993</v>
      </c>
      <c r="AH44" s="55">
        <f>2596.5+1790.09</f>
        <v>4386.59</v>
      </c>
      <c r="AJ44" s="55">
        <f t="shared" si="24"/>
        <v>2716.7099999999991</v>
      </c>
      <c r="AL44" s="82"/>
    </row>
    <row r="45" spans="2:38" ht="16.5" thickBot="1" x14ac:dyDescent="0.3">
      <c r="B45" s="39" t="s">
        <v>75</v>
      </c>
      <c r="C45" s="67"/>
      <c r="D45" s="51">
        <v>4500</v>
      </c>
      <c r="E45" s="51"/>
      <c r="F45" s="51"/>
      <c r="G45" s="51">
        <f t="shared" si="26"/>
        <v>4500</v>
      </c>
      <c r="H45" s="52">
        <f t="shared" si="27"/>
        <v>2749.91</v>
      </c>
      <c r="I45" s="42">
        <f t="shared" si="28"/>
        <v>0.61109111111111103</v>
      </c>
      <c r="J45" s="52">
        <f t="shared" si="29"/>
        <v>1750.0900000000001</v>
      </c>
      <c r="K45" s="53"/>
      <c r="L45" s="72">
        <f>538.61+300</f>
        <v>838.61</v>
      </c>
      <c r="M45" s="72">
        <f>581.26</f>
        <v>581.26</v>
      </c>
      <c r="N45" s="72">
        <v>472.52</v>
      </c>
      <c r="O45" s="55">
        <f t="shared" si="30"/>
        <v>1892.3899999999999</v>
      </c>
      <c r="P45" s="73"/>
      <c r="Q45" s="72">
        <f>507.52</f>
        <v>507.52</v>
      </c>
      <c r="R45" s="72"/>
      <c r="S45" s="72">
        <v>350</v>
      </c>
      <c r="T45" s="55">
        <f t="shared" si="31"/>
        <v>857.52</v>
      </c>
      <c r="U45" s="73"/>
      <c r="V45" s="72"/>
      <c r="W45" s="72"/>
      <c r="X45" s="72"/>
      <c r="Y45" s="55">
        <f t="shared" si="32"/>
        <v>0</v>
      </c>
      <c r="AA45" s="72"/>
      <c r="AB45" s="74"/>
      <c r="AC45" s="75"/>
      <c r="AD45" s="55">
        <f t="shared" si="12"/>
        <v>0</v>
      </c>
      <c r="AF45" s="55">
        <f t="shared" si="33"/>
        <v>2749.91</v>
      </c>
      <c r="AH45" s="55">
        <f>300+1592.39</f>
        <v>1892.39</v>
      </c>
      <c r="AJ45" s="55">
        <f t="shared" si="24"/>
        <v>857.51999999999975</v>
      </c>
    </row>
    <row r="46" spans="2:38" ht="16.5" thickBot="1" x14ac:dyDescent="0.3">
      <c r="B46" s="39" t="s">
        <v>76</v>
      </c>
      <c r="C46" s="67"/>
      <c r="D46" s="51">
        <v>6500</v>
      </c>
      <c r="E46" s="51"/>
      <c r="F46" s="51">
        <v>3500</v>
      </c>
      <c r="G46" s="51">
        <f t="shared" si="26"/>
        <v>10000</v>
      </c>
      <c r="H46" s="52">
        <f t="shared" si="27"/>
        <v>6225.34</v>
      </c>
      <c r="I46" s="42">
        <f t="shared" si="28"/>
        <v>0.62253400000000003</v>
      </c>
      <c r="J46" s="52">
        <f t="shared" si="29"/>
        <v>3774.66</v>
      </c>
      <c r="K46" s="53"/>
      <c r="L46" s="72">
        <f>499.91</f>
        <v>499.91</v>
      </c>
      <c r="M46" s="72">
        <f>155.5</f>
        <v>155.5</v>
      </c>
      <c r="N46" s="72">
        <f>160.68-229.98</f>
        <v>-69.299999999999983</v>
      </c>
      <c r="O46" s="55">
        <f t="shared" si="30"/>
        <v>586.11000000000013</v>
      </c>
      <c r="P46" s="73"/>
      <c r="Q46" s="72">
        <f>1961.23+280</f>
        <v>2241.23</v>
      </c>
      <c r="R46" s="72">
        <f>160.68+521.06</f>
        <v>681.74</v>
      </c>
      <c r="S46" s="72">
        <f>2052.15+664.11</f>
        <v>2716.26</v>
      </c>
      <c r="T46" s="55">
        <f t="shared" si="31"/>
        <v>5639.2300000000005</v>
      </c>
      <c r="U46" s="73"/>
      <c r="V46" s="72"/>
      <c r="W46" s="72"/>
      <c r="X46" s="72"/>
      <c r="Y46" s="55">
        <f t="shared" si="32"/>
        <v>0</v>
      </c>
      <c r="AA46" s="72"/>
      <c r="AB46" s="74"/>
      <c r="AC46" s="75"/>
      <c r="AD46" s="55">
        <f t="shared" si="12"/>
        <v>0</v>
      </c>
      <c r="AF46" s="55">
        <f t="shared" si="33"/>
        <v>6225.34</v>
      </c>
      <c r="AH46" s="55">
        <f>2777.32+50.02</f>
        <v>2827.34</v>
      </c>
      <c r="AJ46" s="55">
        <f t="shared" si="24"/>
        <v>3398</v>
      </c>
    </row>
    <row r="47" spans="2:38" ht="16.5" thickBot="1" x14ac:dyDescent="0.3">
      <c r="B47" s="39" t="s">
        <v>77</v>
      </c>
      <c r="C47" s="67"/>
      <c r="D47" s="51">
        <v>744</v>
      </c>
      <c r="E47" s="51"/>
      <c r="F47" s="51"/>
      <c r="G47" s="51">
        <f t="shared" si="26"/>
        <v>744</v>
      </c>
      <c r="H47" s="52">
        <f t="shared" si="27"/>
        <v>100.11999999999999</v>
      </c>
      <c r="I47" s="42">
        <f t="shared" si="28"/>
        <v>0.13456989247311826</v>
      </c>
      <c r="J47" s="52">
        <f t="shared" si="29"/>
        <v>643.88</v>
      </c>
      <c r="K47" s="53"/>
      <c r="L47" s="72">
        <v>7.65</v>
      </c>
      <c r="M47" s="72">
        <v>22</v>
      </c>
      <c r="N47" s="72">
        <v>15.54</v>
      </c>
      <c r="O47" s="55">
        <f t="shared" si="30"/>
        <v>45.19</v>
      </c>
      <c r="P47" s="73"/>
      <c r="Q47" s="72">
        <v>11.77</v>
      </c>
      <c r="R47" s="72"/>
      <c r="S47" s="72">
        <v>43.16</v>
      </c>
      <c r="T47" s="55">
        <f t="shared" si="31"/>
        <v>54.929999999999993</v>
      </c>
      <c r="U47" s="73"/>
      <c r="V47" s="72"/>
      <c r="W47" s="72"/>
      <c r="X47" s="72"/>
      <c r="Y47" s="55">
        <f t="shared" si="32"/>
        <v>0</v>
      </c>
      <c r="AA47" s="72"/>
      <c r="AB47" s="74"/>
      <c r="AC47" s="75"/>
      <c r="AD47" s="55">
        <f t="shared" si="12"/>
        <v>0</v>
      </c>
      <c r="AF47" s="55">
        <f t="shared" si="33"/>
        <v>100.11999999999999</v>
      </c>
      <c r="AH47" s="55">
        <v>56.96</v>
      </c>
      <c r="AJ47" s="55">
        <f t="shared" si="24"/>
        <v>43.159999999999989</v>
      </c>
    </row>
    <row r="48" spans="2:38" ht="16.5" thickBot="1" x14ac:dyDescent="0.3">
      <c r="B48" s="39" t="s">
        <v>78</v>
      </c>
      <c r="C48" s="67"/>
      <c r="D48" s="51">
        <v>12000</v>
      </c>
      <c r="E48" s="51"/>
      <c r="F48" s="51"/>
      <c r="G48" s="51">
        <f t="shared" si="26"/>
        <v>12000</v>
      </c>
      <c r="H48" s="52">
        <f t="shared" si="27"/>
        <v>2800</v>
      </c>
      <c r="I48" s="42">
        <f t="shared" si="28"/>
        <v>0.23333333333333334</v>
      </c>
      <c r="J48" s="52">
        <f t="shared" si="29"/>
        <v>9200</v>
      </c>
      <c r="K48" s="53"/>
      <c r="L48" s="72">
        <v>2240</v>
      </c>
      <c r="M48" s="72"/>
      <c r="N48" s="72">
        <v>560</v>
      </c>
      <c r="O48" s="55">
        <f t="shared" si="30"/>
        <v>2800</v>
      </c>
      <c r="P48" s="73"/>
      <c r="Q48" s="72"/>
      <c r="R48" s="72"/>
      <c r="S48" s="72"/>
      <c r="T48" s="55">
        <f t="shared" si="31"/>
        <v>0</v>
      </c>
      <c r="U48" s="73"/>
      <c r="V48" s="72"/>
      <c r="W48" s="72"/>
      <c r="X48" s="72"/>
      <c r="Y48" s="55">
        <f t="shared" si="32"/>
        <v>0</v>
      </c>
      <c r="AA48" s="72"/>
      <c r="AB48" s="74"/>
      <c r="AC48" s="75"/>
      <c r="AD48" s="55">
        <f t="shared" si="12"/>
        <v>0</v>
      </c>
      <c r="AF48" s="55">
        <f t="shared" si="33"/>
        <v>2800</v>
      </c>
      <c r="AH48" s="55">
        <v>2800</v>
      </c>
      <c r="AJ48" s="55">
        <f t="shared" si="24"/>
        <v>0</v>
      </c>
    </row>
    <row r="49" spans="1:36" ht="16.5" thickBot="1" x14ac:dyDescent="0.3">
      <c r="B49" s="39" t="s">
        <v>79</v>
      </c>
      <c r="C49" s="67"/>
      <c r="D49" s="51">
        <v>9750</v>
      </c>
      <c r="E49" s="51"/>
      <c r="F49" s="51"/>
      <c r="G49" s="51">
        <f t="shared" si="26"/>
        <v>9750</v>
      </c>
      <c r="H49" s="52">
        <f t="shared" si="27"/>
        <v>1646.71</v>
      </c>
      <c r="I49" s="42">
        <f t="shared" si="28"/>
        <v>0.16889333333333334</v>
      </c>
      <c r="J49" s="52">
        <f t="shared" si="29"/>
        <v>8103.29</v>
      </c>
      <c r="K49" s="53"/>
      <c r="L49" s="72">
        <v>200</v>
      </c>
      <c r="M49" s="72">
        <v>712.75</v>
      </c>
      <c r="N49" s="72">
        <v>427.57</v>
      </c>
      <c r="O49" s="55">
        <f t="shared" si="30"/>
        <v>1340.32</v>
      </c>
      <c r="P49" s="73"/>
      <c r="Q49" s="72">
        <v>189.21</v>
      </c>
      <c r="R49" s="72">
        <v>12</v>
      </c>
      <c r="S49" s="72">
        <v>105.18</v>
      </c>
      <c r="T49" s="55">
        <f t="shared" si="31"/>
        <v>306.39</v>
      </c>
      <c r="U49" s="73"/>
      <c r="V49" s="72"/>
      <c r="W49" s="72"/>
      <c r="X49" s="72"/>
      <c r="Y49" s="55">
        <f t="shared" si="32"/>
        <v>0</v>
      </c>
      <c r="AA49" s="72"/>
      <c r="AB49" s="74"/>
      <c r="AC49" s="75"/>
      <c r="AD49" s="55">
        <f t="shared" si="12"/>
        <v>0</v>
      </c>
      <c r="AF49" s="55">
        <f t="shared" si="33"/>
        <v>1646.71</v>
      </c>
      <c r="AH49" s="55">
        <v>1529.53</v>
      </c>
      <c r="AJ49" s="55">
        <f t="shared" si="24"/>
        <v>117.18000000000006</v>
      </c>
    </row>
    <row r="50" spans="1:36" ht="16.5" thickBot="1" x14ac:dyDescent="0.3">
      <c r="B50" s="39" t="s">
        <v>80</v>
      </c>
      <c r="C50" s="67"/>
      <c r="D50" s="51">
        <v>5300</v>
      </c>
      <c r="E50" s="51"/>
      <c r="F50" s="51"/>
      <c r="G50" s="51">
        <f t="shared" si="26"/>
        <v>5300</v>
      </c>
      <c r="H50" s="52">
        <f t="shared" si="27"/>
        <v>2924.54</v>
      </c>
      <c r="I50" s="42">
        <f t="shared" si="28"/>
        <v>0.55179999999999996</v>
      </c>
      <c r="J50" s="52">
        <f t="shared" si="29"/>
        <v>2375.46</v>
      </c>
      <c r="K50" s="53"/>
      <c r="L50" s="72">
        <f>75.92+255.3</f>
        <v>331.22</v>
      </c>
      <c r="M50" s="72">
        <f>679+78+5.3</f>
        <v>762.3</v>
      </c>
      <c r="N50" s="72">
        <f>754.83+78+500+6.4</f>
        <v>1339.23</v>
      </c>
      <c r="O50" s="55">
        <f t="shared" si="30"/>
        <v>2432.75</v>
      </c>
      <c r="P50" s="73"/>
      <c r="Q50" s="72">
        <f>78+50+4.9</f>
        <v>132.9</v>
      </c>
      <c r="R50" s="72">
        <f>78+42.9</f>
        <v>120.9</v>
      </c>
      <c r="S50" s="72">
        <f>38+78+250-128.01</f>
        <v>237.99</v>
      </c>
      <c r="T50" s="55">
        <f t="shared" si="31"/>
        <v>491.79</v>
      </c>
      <c r="U50" s="73"/>
      <c r="V50" s="72"/>
      <c r="W50" s="72"/>
      <c r="X50" s="72"/>
      <c r="Y50" s="55">
        <f t="shared" si="32"/>
        <v>0</v>
      </c>
      <c r="AA50" s="72"/>
      <c r="AB50" s="74"/>
      <c r="AC50" s="75"/>
      <c r="AD50" s="55">
        <f t="shared" si="12"/>
        <v>0</v>
      </c>
      <c r="AF50" s="55">
        <f t="shared" si="33"/>
        <v>2924.54</v>
      </c>
      <c r="AH50" s="55">
        <f>1433.83+309.92+550+2099.91+271.9-1592.39</f>
        <v>3073.1699999999992</v>
      </c>
      <c r="AJ50" s="55">
        <f t="shared" si="24"/>
        <v>-148.6299999999992</v>
      </c>
    </row>
    <row r="51" spans="1:36" ht="16.5" thickBot="1" x14ac:dyDescent="0.3">
      <c r="B51" s="39" t="s">
        <v>81</v>
      </c>
      <c r="C51" s="67"/>
      <c r="D51" s="51">
        <v>5000</v>
      </c>
      <c r="E51" s="51"/>
      <c r="F51" s="51"/>
      <c r="G51" s="51">
        <f t="shared" si="26"/>
        <v>5000</v>
      </c>
      <c r="H51" s="52">
        <f t="shared" si="27"/>
        <v>1629.32</v>
      </c>
      <c r="I51" s="42">
        <f t="shared" si="28"/>
        <v>0.32586399999999999</v>
      </c>
      <c r="J51" s="52">
        <f t="shared" si="29"/>
        <v>3370.6800000000003</v>
      </c>
      <c r="K51" s="53"/>
      <c r="L51" s="72"/>
      <c r="M51" s="72"/>
      <c r="N51" s="72"/>
      <c r="O51" s="55">
        <f t="shared" si="30"/>
        <v>0</v>
      </c>
      <c r="P51" s="73"/>
      <c r="Q51" s="72"/>
      <c r="R51" s="72"/>
      <c r="S51" s="72">
        <v>1629.32</v>
      </c>
      <c r="T51" s="55">
        <f t="shared" si="31"/>
        <v>1629.32</v>
      </c>
      <c r="U51" s="73"/>
      <c r="V51" s="72"/>
      <c r="W51" s="72"/>
      <c r="X51" s="72"/>
      <c r="Y51" s="55">
        <f t="shared" si="32"/>
        <v>0</v>
      </c>
      <c r="AA51" s="72"/>
      <c r="AB51" s="74"/>
      <c r="AC51" s="75"/>
      <c r="AD51" s="55">
        <f t="shared" si="12"/>
        <v>0</v>
      </c>
      <c r="AF51" s="55">
        <f t="shared" si="33"/>
        <v>1629.32</v>
      </c>
      <c r="AH51" s="55"/>
      <c r="AJ51" s="55">
        <f t="shared" si="24"/>
        <v>1629.32</v>
      </c>
    </row>
    <row r="52" spans="1:36" ht="16.5" thickBot="1" x14ac:dyDescent="0.3">
      <c r="B52" s="39" t="s">
        <v>82</v>
      </c>
      <c r="C52" s="67"/>
      <c r="D52" s="51">
        <v>3000</v>
      </c>
      <c r="E52" s="51"/>
      <c r="F52" s="51"/>
      <c r="G52" s="51">
        <f t="shared" si="26"/>
        <v>3000</v>
      </c>
      <c r="H52" s="52">
        <f t="shared" si="27"/>
        <v>1862.1100000000001</v>
      </c>
      <c r="I52" s="42">
        <f t="shared" si="28"/>
        <v>0.62070333333333338</v>
      </c>
      <c r="J52" s="52">
        <f t="shared" si="29"/>
        <v>1137.8899999999999</v>
      </c>
      <c r="K52" s="53"/>
      <c r="L52" s="72"/>
      <c r="M52" s="72">
        <v>944.07</v>
      </c>
      <c r="N52" s="72">
        <v>278.70999999999998</v>
      </c>
      <c r="O52" s="55">
        <f t="shared" si="30"/>
        <v>1222.78</v>
      </c>
      <c r="P52" s="73"/>
      <c r="Q52" s="72">
        <v>230</v>
      </c>
      <c r="R52" s="72">
        <v>309.23</v>
      </c>
      <c r="S52" s="72">
        <v>100.1</v>
      </c>
      <c r="T52" s="55">
        <f t="shared" si="31"/>
        <v>639.33000000000004</v>
      </c>
      <c r="U52" s="73"/>
      <c r="V52" s="72"/>
      <c r="W52" s="72"/>
      <c r="X52" s="72"/>
      <c r="Y52" s="55">
        <f t="shared" si="32"/>
        <v>0</v>
      </c>
      <c r="AA52" s="72"/>
      <c r="AB52" s="74"/>
      <c r="AC52" s="75"/>
      <c r="AD52" s="55">
        <f t="shared" si="12"/>
        <v>0</v>
      </c>
      <c r="AF52" s="55">
        <f t="shared" si="33"/>
        <v>1862.1100000000001</v>
      </c>
      <c r="AH52" s="55">
        <v>1452.78</v>
      </c>
      <c r="AJ52" s="55">
        <f t="shared" si="24"/>
        <v>409.33000000000015</v>
      </c>
    </row>
    <row r="53" spans="1:36" ht="16.5" thickBot="1" x14ac:dyDescent="0.3">
      <c r="B53" s="39" t="s">
        <v>83</v>
      </c>
      <c r="C53" s="67"/>
      <c r="D53" s="51">
        <v>10850</v>
      </c>
      <c r="E53" s="51"/>
      <c r="F53" s="51"/>
      <c r="G53" s="51">
        <f t="shared" si="26"/>
        <v>10850</v>
      </c>
      <c r="H53" s="52">
        <f t="shared" si="27"/>
        <v>4917.0599999999995</v>
      </c>
      <c r="I53" s="42">
        <f t="shared" si="28"/>
        <v>0.45318525345622113</v>
      </c>
      <c r="J53" s="52">
        <f t="shared" si="29"/>
        <v>5932.9400000000005</v>
      </c>
      <c r="K53" s="53"/>
      <c r="L53" s="72">
        <v>730.45</v>
      </c>
      <c r="M53" s="72">
        <v>1076.99</v>
      </c>
      <c r="N53" s="72">
        <v>832.36</v>
      </c>
      <c r="O53" s="55">
        <f>SUM(L53:N53)</f>
        <v>2639.8</v>
      </c>
      <c r="P53" s="73"/>
      <c r="Q53" s="72">
        <v>1067.29</v>
      </c>
      <c r="R53" s="72">
        <v>487.83</v>
      </c>
      <c r="S53" s="72">
        <v>722.14</v>
      </c>
      <c r="T53" s="55">
        <f>SUM(Q53:S53)</f>
        <v>2277.2599999999998</v>
      </c>
      <c r="U53" s="73"/>
      <c r="V53" s="72"/>
      <c r="W53" s="72"/>
      <c r="X53" s="72"/>
      <c r="Y53" s="55">
        <f>SUM(V53:X53)</f>
        <v>0</v>
      </c>
      <c r="AA53" s="72"/>
      <c r="AB53" s="74"/>
      <c r="AC53" s="75"/>
      <c r="AD53" s="55">
        <f>SUM(AA53:AC53)</f>
        <v>0</v>
      </c>
      <c r="AF53" s="55">
        <f t="shared" si="33"/>
        <v>4917.0599999999995</v>
      </c>
      <c r="AH53" s="55">
        <v>3707.09</v>
      </c>
      <c r="AJ53" s="55">
        <f t="shared" si="24"/>
        <v>1209.9699999999993</v>
      </c>
    </row>
    <row r="54" spans="1:36" ht="16.5" thickBot="1" x14ac:dyDescent="0.3">
      <c r="B54" s="39" t="s">
        <v>84</v>
      </c>
      <c r="C54" s="67"/>
      <c r="D54" s="51">
        <v>50150</v>
      </c>
      <c r="E54" s="51"/>
      <c r="F54" s="51">
        <v>30000</v>
      </c>
      <c r="G54" s="51">
        <f t="shared" si="26"/>
        <v>80150</v>
      </c>
      <c r="H54" s="52">
        <f t="shared" si="27"/>
        <v>41150</v>
      </c>
      <c r="I54" s="42">
        <f t="shared" si="28"/>
        <v>0.51341235184029943</v>
      </c>
      <c r="J54" s="52">
        <f t="shared" si="29"/>
        <v>39000</v>
      </c>
      <c r="K54" s="53"/>
      <c r="L54" s="54">
        <v>10150</v>
      </c>
      <c r="M54" s="54">
        <v>10500</v>
      </c>
      <c r="N54" s="54">
        <v>10000</v>
      </c>
      <c r="O54" s="55">
        <f t="shared" si="30"/>
        <v>30650</v>
      </c>
      <c r="P54" s="46"/>
      <c r="Q54" s="54"/>
      <c r="R54" s="54">
        <v>4500</v>
      </c>
      <c r="S54" s="54">
        <v>6000</v>
      </c>
      <c r="T54" s="55">
        <f t="shared" si="31"/>
        <v>10500</v>
      </c>
      <c r="U54" s="66"/>
      <c r="V54" s="54"/>
      <c r="W54" s="54"/>
      <c r="X54" s="54"/>
      <c r="Y54" s="55">
        <f t="shared" si="32"/>
        <v>0</v>
      </c>
      <c r="AA54" s="54"/>
      <c r="AB54" s="70"/>
      <c r="AC54" s="71"/>
      <c r="AD54" s="55">
        <f t="shared" si="12"/>
        <v>0</v>
      </c>
      <c r="AF54" s="55">
        <f t="shared" si="33"/>
        <v>41150</v>
      </c>
      <c r="AH54" s="55">
        <v>30650</v>
      </c>
      <c r="AJ54" s="55">
        <f t="shared" si="24"/>
        <v>10500</v>
      </c>
    </row>
    <row r="55" spans="1:36" ht="21" customHeight="1" thickBot="1" x14ac:dyDescent="0.3">
      <c r="B55" s="83" t="s">
        <v>85</v>
      </c>
      <c r="C55" s="84"/>
      <c r="D55" s="85">
        <f>SUM(D4:D54)</f>
        <v>1956284.0899999999</v>
      </c>
      <c r="E55" s="85">
        <f>SUM(E4:E54)</f>
        <v>0</v>
      </c>
      <c r="F55" s="85">
        <f>SUM(F4:F54)</f>
        <v>30000</v>
      </c>
      <c r="G55" s="85">
        <f>SUM(G4:G54)</f>
        <v>1986284.0899999999</v>
      </c>
      <c r="H55" s="85">
        <f>SUM(H4:H54)</f>
        <v>895257.83738634398</v>
      </c>
      <c r="I55" s="176">
        <f t="shared" si="28"/>
        <v>0.45071993573001135</v>
      </c>
      <c r="J55" s="85">
        <f>SUM(J4:J54)</f>
        <v>1091026.2526136562</v>
      </c>
      <c r="K55" s="87"/>
      <c r="L55" s="88">
        <f>SUM(L4:L54)</f>
        <v>147073.657186344</v>
      </c>
      <c r="M55" s="89">
        <f>SUM(M4:M54)</f>
        <v>161308.28854000004</v>
      </c>
      <c r="N55" s="90">
        <f>SUM(N4:N54)</f>
        <v>153097.80853000007</v>
      </c>
      <c r="O55" s="91">
        <f>SUM(O4:O54)</f>
        <v>461479.75425634405</v>
      </c>
      <c r="P55" s="92"/>
      <c r="Q55" s="88">
        <f>SUM(Q4:Q54)</f>
        <v>138112.96099999995</v>
      </c>
      <c r="R55" s="89">
        <f>SUM(R4:R54)</f>
        <v>125018.08208200001</v>
      </c>
      <c r="S55" s="93">
        <f>SUM(S4:S54)</f>
        <v>171666.77004800003</v>
      </c>
      <c r="T55" s="91">
        <f>SUM(T4:T54)</f>
        <v>434797.81312999997</v>
      </c>
      <c r="U55" s="57"/>
      <c r="V55" s="88">
        <f>SUM(V4:V54)</f>
        <v>0</v>
      </c>
      <c r="W55" s="88">
        <f>SUM(W4:W54)</f>
        <v>0</v>
      </c>
      <c r="X55" s="90">
        <f>SUM(X4:X54)</f>
        <v>0</v>
      </c>
      <c r="Y55" s="91">
        <f>SUM(Y4:Y54)</f>
        <v>0</v>
      </c>
      <c r="Z55" s="57"/>
      <c r="AA55" s="88">
        <f>SUM(AA4:AA54)</f>
        <v>0</v>
      </c>
      <c r="AB55" s="89">
        <f>SUM(AB4:AB54)</f>
        <v>0</v>
      </c>
      <c r="AC55" s="93">
        <f>SUM(AC4:AC54)</f>
        <v>0</v>
      </c>
      <c r="AD55" s="91">
        <f>SUM(AD4:AD54)</f>
        <v>0</v>
      </c>
      <c r="AE55" s="57"/>
      <c r="AF55" s="91">
        <f>SUM(AF4:AF54)</f>
        <v>896277.56738634396</v>
      </c>
      <c r="AH55" s="91">
        <f>SUM(AH4:AH54)</f>
        <v>610369.53</v>
      </c>
      <c r="AJ55" s="91">
        <f>SUM(AJ4:AJ54)</f>
        <v>285908.03738634393</v>
      </c>
    </row>
    <row r="56" spans="1:36" s="95" customFormat="1" ht="12.75" hidden="1" x14ac:dyDescent="0.2">
      <c r="A56" s="94"/>
      <c r="H56" s="47"/>
      <c r="I56" s="96"/>
      <c r="J56" s="97"/>
      <c r="K56" s="97"/>
      <c r="L56" s="98">
        <v>147073.78</v>
      </c>
      <c r="M56" s="98">
        <v>160016.57</v>
      </c>
      <c r="N56" s="98">
        <v>153097.85</v>
      </c>
      <c r="O56" s="99"/>
      <c r="P56" s="99"/>
      <c r="Q56" s="100">
        <v>138543.59</v>
      </c>
      <c r="R56" s="100">
        <v>125448.69</v>
      </c>
      <c r="S56" s="100">
        <v>172097.39</v>
      </c>
      <c r="T56" s="47"/>
      <c r="U56" s="47"/>
      <c r="V56" s="47"/>
      <c r="AF56" s="100">
        <v>724180.47999999998</v>
      </c>
      <c r="AH56" s="100">
        <v>598116.88</v>
      </c>
      <c r="AJ56" s="46"/>
    </row>
    <row r="57" spans="1:36" s="102" customFormat="1" hidden="1" x14ac:dyDescent="0.25">
      <c r="A57" s="101"/>
      <c r="H57" s="103"/>
      <c r="I57" s="104"/>
      <c r="J57" s="105"/>
      <c r="K57" s="105"/>
      <c r="L57" s="106">
        <f>+L55-L56</f>
        <v>-0.12281365599483252</v>
      </c>
      <c r="M57" s="106">
        <f>+M55-M56</f>
        <v>1291.7185400000308</v>
      </c>
      <c r="N57" s="106">
        <f>+N55-N56</f>
        <v>-4.146999993827194E-2</v>
      </c>
      <c r="O57" s="107"/>
      <c r="P57" s="107"/>
      <c r="Q57" s="106">
        <f>+Q55-Q56</f>
        <v>-430.62900000004447</v>
      </c>
      <c r="R57" s="106">
        <f>+R55-R56</f>
        <v>-430.60791799999424</v>
      </c>
      <c r="S57" s="106">
        <f>+S55-S56</f>
        <v>-430.61995199997909</v>
      </c>
      <c r="T57" s="103"/>
      <c r="U57" s="103"/>
      <c r="V57" s="103"/>
      <c r="AF57" s="106">
        <f>+AF55-AF56</f>
        <v>172097.08738634398</v>
      </c>
      <c r="AH57" s="106">
        <f>+AH55-AH56</f>
        <v>12252.650000000023</v>
      </c>
      <c r="AJ57" s="107"/>
    </row>
    <row r="59" spans="1:36" x14ac:dyDescent="0.25">
      <c r="F59" s="181"/>
      <c r="S59" s="111"/>
    </row>
  </sheetData>
  <mergeCells count="3">
    <mergeCell ref="D1:J1"/>
    <mergeCell ref="D2:J2"/>
    <mergeCell ref="L2:A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70DA9-B8AC-1F44-8ADB-367E18C38AB6}">
  <dimension ref="A1:Y46"/>
  <sheetViews>
    <sheetView topLeftCell="A3" zoomScale="120" zoomScaleNormal="120" workbookViewId="0">
      <selection activeCell="E3" sqref="E3"/>
    </sheetView>
  </sheetViews>
  <sheetFormatPr defaultColWidth="11" defaultRowHeight="15.75" x14ac:dyDescent="0.25"/>
  <cols>
    <col min="1" max="1" width="31.125" customWidth="1"/>
    <col min="2" max="2" width="15" bestFit="1" customWidth="1"/>
    <col min="3" max="3" width="14" bestFit="1" customWidth="1"/>
    <col min="4" max="4" width="11.125" bestFit="1" customWidth="1"/>
    <col min="5" max="5" width="11.125" customWidth="1"/>
    <col min="6" max="6" width="14" bestFit="1" customWidth="1"/>
    <col min="7" max="7" width="1.875" customWidth="1"/>
    <col min="8" max="10" width="12.5" hidden="1" customWidth="1"/>
    <col min="11" max="11" width="12.5" bestFit="1" customWidth="1"/>
    <col min="12" max="13" width="12.5" customWidth="1"/>
    <col min="14" max="14" width="11.5" hidden="1" customWidth="1"/>
    <col min="15" max="15" width="14" hidden="1" customWidth="1"/>
    <col min="16" max="19" width="12.5" hidden="1" customWidth="1"/>
    <col min="20" max="20" width="1.875" customWidth="1"/>
    <col min="21" max="22" width="14" bestFit="1" customWidth="1"/>
    <col min="23" max="23" width="7.625" bestFit="1" customWidth="1"/>
    <col min="24" max="24" width="14" bestFit="1" customWidth="1"/>
    <col min="25" max="25" width="2.5" customWidth="1"/>
  </cols>
  <sheetData>
    <row r="1" spans="1:25" ht="21" thickBot="1" x14ac:dyDescent="0.35">
      <c r="A1" s="114" t="s">
        <v>86</v>
      </c>
      <c r="B1" s="115"/>
      <c r="C1" s="116" t="s">
        <v>87</v>
      </c>
      <c r="D1" s="117"/>
      <c r="E1" s="117"/>
      <c r="F1" s="117"/>
      <c r="G1" s="20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U1" s="118" t="s">
        <v>87</v>
      </c>
      <c r="V1" s="118" t="s">
        <v>87</v>
      </c>
      <c r="W1" s="119" t="s">
        <v>87</v>
      </c>
      <c r="X1" s="120" t="s">
        <v>87</v>
      </c>
    </row>
    <row r="2" spans="1:25" ht="23.25" thickBot="1" x14ac:dyDescent="0.35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3"/>
    </row>
    <row r="3" spans="1:25" ht="30.75" thickBot="1" x14ac:dyDescent="0.35">
      <c r="A3" s="121" t="s">
        <v>88</v>
      </c>
      <c r="B3" s="122"/>
      <c r="C3" s="123" t="s">
        <v>89</v>
      </c>
      <c r="D3" s="124" t="s">
        <v>10</v>
      </c>
      <c r="E3" s="177" t="s">
        <v>11</v>
      </c>
      <c r="F3" s="125" t="s">
        <v>12</v>
      </c>
      <c r="G3" s="126"/>
      <c r="H3" s="127">
        <v>44396</v>
      </c>
      <c r="I3" s="127">
        <v>44427</v>
      </c>
      <c r="J3" s="127">
        <v>44458</v>
      </c>
      <c r="K3" s="127">
        <v>44488</v>
      </c>
      <c r="L3" s="127">
        <v>44519</v>
      </c>
      <c r="M3" s="127">
        <v>44549</v>
      </c>
      <c r="N3" s="127">
        <v>44581</v>
      </c>
      <c r="O3" s="127">
        <v>44612</v>
      </c>
      <c r="P3" s="127">
        <v>44640</v>
      </c>
      <c r="Q3" s="127">
        <v>44671</v>
      </c>
      <c r="R3" s="127">
        <v>44701</v>
      </c>
      <c r="S3" s="128">
        <v>44732</v>
      </c>
      <c r="U3" s="129" t="s">
        <v>90</v>
      </c>
      <c r="V3" s="123" t="s">
        <v>91</v>
      </c>
      <c r="W3" s="130" t="s">
        <v>92</v>
      </c>
      <c r="X3" s="131" t="s">
        <v>93</v>
      </c>
    </row>
    <row r="4" spans="1:25" ht="16.5" thickBot="1" x14ac:dyDescent="0.3">
      <c r="A4" s="132" t="s">
        <v>94</v>
      </c>
      <c r="B4" s="133"/>
      <c r="C4" s="133" t="s">
        <v>87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U4" s="134" t="s">
        <v>87</v>
      </c>
      <c r="V4" s="134" t="s">
        <v>87</v>
      </c>
      <c r="W4" s="134" t="s">
        <v>87</v>
      </c>
      <c r="X4" s="135" t="s">
        <v>87</v>
      </c>
    </row>
    <row r="5" spans="1:25" x14ac:dyDescent="0.25">
      <c r="A5" s="136" t="s">
        <v>95</v>
      </c>
      <c r="B5" s="137"/>
      <c r="C5" s="138">
        <v>49980</v>
      </c>
      <c r="D5" s="138"/>
      <c r="E5" s="138"/>
      <c r="F5" s="138">
        <f>+C5+D5+E5</f>
        <v>49980</v>
      </c>
      <c r="G5" s="117"/>
      <c r="H5" s="139">
        <v>49980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0"/>
      <c r="U5" s="141">
        <f>SUM(H5:T5)</f>
        <v>49980</v>
      </c>
      <c r="V5" s="142"/>
      <c r="W5" s="143">
        <f t="shared" ref="W5:W13" si="0">SUM(U5:V5)/C5</f>
        <v>1</v>
      </c>
      <c r="X5" s="144">
        <f t="shared" ref="X5:X12" si="1">+F5-U5-V5</f>
        <v>0</v>
      </c>
    </row>
    <row r="6" spans="1:25" x14ac:dyDescent="0.25">
      <c r="A6" s="136" t="s">
        <v>96</v>
      </c>
      <c r="B6" s="137"/>
      <c r="C6" s="138">
        <v>43164</v>
      </c>
      <c r="D6" s="138"/>
      <c r="E6" s="138"/>
      <c r="F6" s="138">
        <f t="shared" ref="F6:F12" si="2">+C6+D6+E6</f>
        <v>43164</v>
      </c>
      <c r="G6" s="117"/>
      <c r="H6" s="145">
        <v>43164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6"/>
      <c r="U6" s="147">
        <f t="shared" ref="U6:U12" si="3">SUM(H6:T6)</f>
        <v>43164</v>
      </c>
      <c r="V6" s="148"/>
      <c r="W6" s="143">
        <f t="shared" si="0"/>
        <v>1</v>
      </c>
      <c r="X6" s="144">
        <f t="shared" si="1"/>
        <v>0</v>
      </c>
    </row>
    <row r="7" spans="1:25" x14ac:dyDescent="0.25">
      <c r="A7" s="136" t="s">
        <v>97</v>
      </c>
      <c r="B7" s="137"/>
      <c r="C7" s="138">
        <v>7208</v>
      </c>
      <c r="D7" s="138"/>
      <c r="E7" s="138"/>
      <c r="F7" s="138">
        <f t="shared" si="2"/>
        <v>7208</v>
      </c>
      <c r="G7" s="117"/>
      <c r="H7" s="145"/>
      <c r="I7" s="145">
        <v>7208</v>
      </c>
      <c r="J7" s="145"/>
      <c r="K7" s="145"/>
      <c r="L7" s="145"/>
      <c r="M7" s="145"/>
      <c r="N7" s="145"/>
      <c r="O7" s="145"/>
      <c r="P7" s="145"/>
      <c r="Q7" s="145"/>
      <c r="R7" s="145"/>
      <c r="S7" s="146"/>
      <c r="U7" s="147">
        <f t="shared" si="3"/>
        <v>7208</v>
      </c>
      <c r="V7" s="148"/>
      <c r="W7" s="143">
        <f t="shared" si="0"/>
        <v>1</v>
      </c>
      <c r="X7" s="144">
        <f t="shared" si="1"/>
        <v>0</v>
      </c>
    </row>
    <row r="8" spans="1:25" x14ac:dyDescent="0.25">
      <c r="A8" s="136" t="s">
        <v>98</v>
      </c>
      <c r="B8" s="137"/>
      <c r="C8" s="138">
        <v>1124</v>
      </c>
      <c r="D8" s="138"/>
      <c r="E8" s="138"/>
      <c r="F8" s="138">
        <f t="shared" si="2"/>
        <v>1124</v>
      </c>
      <c r="G8" s="117"/>
      <c r="H8" s="145"/>
      <c r="I8" s="145"/>
      <c r="J8" s="145"/>
      <c r="K8" s="145"/>
      <c r="L8" s="145"/>
      <c r="M8" s="145">
        <v>1124</v>
      </c>
      <c r="N8" s="145"/>
      <c r="O8" s="145"/>
      <c r="P8" s="145"/>
      <c r="Q8" s="145"/>
      <c r="R8" s="145"/>
      <c r="S8" s="146"/>
      <c r="U8" s="147">
        <f t="shared" si="3"/>
        <v>1124</v>
      </c>
      <c r="V8" s="148"/>
      <c r="W8" s="143">
        <f t="shared" si="0"/>
        <v>1</v>
      </c>
      <c r="X8" s="144">
        <f t="shared" si="1"/>
        <v>0</v>
      </c>
    </row>
    <row r="9" spans="1:25" x14ac:dyDescent="0.25">
      <c r="A9" s="136" t="s">
        <v>99</v>
      </c>
      <c r="B9" s="137"/>
      <c r="C9" s="138">
        <v>843</v>
      </c>
      <c r="D9" s="138"/>
      <c r="E9" s="138"/>
      <c r="F9" s="138">
        <f t="shared" si="2"/>
        <v>843</v>
      </c>
      <c r="G9" s="110"/>
      <c r="H9" s="149">
        <v>843</v>
      </c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50"/>
      <c r="U9" s="147">
        <f t="shared" si="3"/>
        <v>843</v>
      </c>
      <c r="V9" s="148"/>
      <c r="W9" s="143">
        <f t="shared" si="0"/>
        <v>1</v>
      </c>
      <c r="X9" s="144">
        <f t="shared" si="1"/>
        <v>0</v>
      </c>
    </row>
    <row r="10" spans="1:25" x14ac:dyDescent="0.25">
      <c r="A10" s="136" t="s">
        <v>100</v>
      </c>
      <c r="B10" s="137"/>
      <c r="C10" s="138">
        <v>4680</v>
      </c>
      <c r="D10" s="138"/>
      <c r="E10" s="138"/>
      <c r="F10" s="138">
        <f t="shared" si="2"/>
        <v>4680</v>
      </c>
      <c r="G10" s="110"/>
      <c r="H10" s="149"/>
      <c r="I10" s="149">
        <v>4680</v>
      </c>
      <c r="J10" s="149"/>
      <c r="K10" s="149"/>
      <c r="L10" s="149"/>
      <c r="M10" s="149"/>
      <c r="N10" s="149"/>
      <c r="O10" s="149"/>
      <c r="P10" s="149"/>
      <c r="Q10" s="149"/>
      <c r="R10" s="149"/>
      <c r="S10" s="150"/>
      <c r="U10" s="147">
        <f t="shared" si="3"/>
        <v>4680</v>
      </c>
      <c r="V10" s="148"/>
      <c r="W10" s="143">
        <f t="shared" si="0"/>
        <v>1</v>
      </c>
      <c r="X10" s="144">
        <f t="shared" si="1"/>
        <v>0</v>
      </c>
    </row>
    <row r="11" spans="1:25" x14ac:dyDescent="0.25">
      <c r="A11" s="136" t="s">
        <v>101</v>
      </c>
      <c r="B11" s="137"/>
      <c r="C11" s="138">
        <v>732</v>
      </c>
      <c r="D11" s="138"/>
      <c r="E11" s="138"/>
      <c r="F11" s="138">
        <f t="shared" si="2"/>
        <v>732</v>
      </c>
      <c r="G11" s="110"/>
      <c r="H11" s="149"/>
      <c r="I11" s="149"/>
      <c r="J11" s="149"/>
      <c r="K11" s="149">
        <v>732</v>
      </c>
      <c r="L11" s="149"/>
      <c r="M11" s="149"/>
      <c r="N11" s="149"/>
      <c r="O11" s="149"/>
      <c r="P11" s="149"/>
      <c r="Q11" s="149"/>
      <c r="R11" s="149"/>
      <c r="S11" s="150"/>
      <c r="U11" s="147">
        <f t="shared" si="3"/>
        <v>732</v>
      </c>
      <c r="V11" s="151"/>
      <c r="W11" s="143">
        <f t="shared" si="0"/>
        <v>1</v>
      </c>
      <c r="X11" s="144">
        <f t="shared" si="1"/>
        <v>0</v>
      </c>
    </row>
    <row r="12" spans="1:25" ht="16.5" thickBot="1" x14ac:dyDescent="0.3">
      <c r="A12" s="136" t="s">
        <v>102</v>
      </c>
      <c r="B12" s="137"/>
      <c r="C12" s="138">
        <v>229</v>
      </c>
      <c r="D12" s="138"/>
      <c r="E12" s="138"/>
      <c r="F12" s="138">
        <f t="shared" si="2"/>
        <v>229</v>
      </c>
      <c r="G12" s="110"/>
      <c r="H12" s="149">
        <v>229</v>
      </c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U12" s="147">
        <f t="shared" si="3"/>
        <v>229</v>
      </c>
      <c r="V12" s="151"/>
      <c r="W12" s="143">
        <f t="shared" si="0"/>
        <v>1</v>
      </c>
      <c r="X12" s="144">
        <f t="shared" si="1"/>
        <v>0</v>
      </c>
    </row>
    <row r="13" spans="1:25" ht="16.5" thickBot="1" x14ac:dyDescent="0.3">
      <c r="A13" s="152" t="s">
        <v>103</v>
      </c>
      <c r="B13" s="153"/>
      <c r="C13" s="154">
        <f>SUM(C5:C12)</f>
        <v>107960</v>
      </c>
      <c r="D13" s="154">
        <f>SUM(D5:D12)</f>
        <v>0</v>
      </c>
      <c r="E13" s="154">
        <f>SUM(E5:E12)</f>
        <v>0</v>
      </c>
      <c r="F13" s="154">
        <f>SUM(F5:F12)</f>
        <v>107960</v>
      </c>
      <c r="G13" s="155"/>
      <c r="H13" s="154">
        <f t="shared" ref="H13:S13" si="4">SUM(H5:H12)</f>
        <v>94216</v>
      </c>
      <c r="I13" s="154">
        <f t="shared" si="4"/>
        <v>11888</v>
      </c>
      <c r="J13" s="154">
        <f t="shared" si="4"/>
        <v>0</v>
      </c>
      <c r="K13" s="154">
        <f t="shared" si="4"/>
        <v>732</v>
      </c>
      <c r="L13" s="154">
        <f t="shared" si="4"/>
        <v>0</v>
      </c>
      <c r="M13" s="154">
        <f t="shared" si="4"/>
        <v>1124</v>
      </c>
      <c r="N13" s="154">
        <f t="shared" si="4"/>
        <v>0</v>
      </c>
      <c r="O13" s="154">
        <f t="shared" si="4"/>
        <v>0</v>
      </c>
      <c r="P13" s="154">
        <f t="shared" si="4"/>
        <v>0</v>
      </c>
      <c r="Q13" s="154">
        <f t="shared" si="4"/>
        <v>0</v>
      </c>
      <c r="R13" s="154">
        <f t="shared" si="4"/>
        <v>0</v>
      </c>
      <c r="S13" s="156">
        <f t="shared" si="4"/>
        <v>0</v>
      </c>
      <c r="U13" s="157">
        <f>SUM(U5:U12)</f>
        <v>107960</v>
      </c>
      <c r="V13" s="158">
        <f>SUM(V5:V12)</f>
        <v>0</v>
      </c>
      <c r="W13" s="159">
        <f t="shared" si="0"/>
        <v>1</v>
      </c>
      <c r="X13" s="156">
        <f>SUM(X5:X12)</f>
        <v>0</v>
      </c>
    </row>
    <row r="14" spans="1:25" ht="16.5" thickBot="1" x14ac:dyDescent="0.3">
      <c r="A14" s="132" t="s">
        <v>104</v>
      </c>
      <c r="B14" s="133"/>
      <c r="C14" s="133" t="s">
        <v>87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U14" s="133" t="s">
        <v>87</v>
      </c>
      <c r="V14" s="160" t="s">
        <v>87</v>
      </c>
      <c r="W14" s="160"/>
      <c r="X14" s="161"/>
    </row>
    <row r="15" spans="1:25" x14ac:dyDescent="0.25">
      <c r="A15" s="136" t="s">
        <v>105</v>
      </c>
      <c r="B15" s="137" t="s">
        <v>106</v>
      </c>
      <c r="C15" s="138">
        <v>628000</v>
      </c>
      <c r="D15" s="138"/>
      <c r="E15" s="138"/>
      <c r="F15" s="138">
        <f t="shared" ref="F15:F19" si="5">+C15+D15+E15</f>
        <v>628000</v>
      </c>
      <c r="G15" s="110"/>
      <c r="H15" s="149"/>
      <c r="I15" s="149">
        <v>138160</v>
      </c>
      <c r="J15" s="149">
        <v>44530.91</v>
      </c>
      <c r="K15" s="149">
        <v>44530.91</v>
      </c>
      <c r="L15" s="149">
        <v>44530.91</v>
      </c>
      <c r="M15" s="149">
        <v>44530.91</v>
      </c>
      <c r="N15" s="149"/>
      <c r="O15" s="149"/>
      <c r="P15" s="149"/>
      <c r="Q15" s="149"/>
      <c r="R15" s="149"/>
      <c r="S15" s="150"/>
      <c r="U15" s="147">
        <f>SUM(H15:T15)</f>
        <v>316283.64</v>
      </c>
      <c r="V15" s="151"/>
      <c r="W15" s="143">
        <f>SUM(U15:V15)/F15</f>
        <v>0.50363636942675161</v>
      </c>
      <c r="X15" s="144">
        <f>+F15-U15-V15</f>
        <v>311716.36</v>
      </c>
      <c r="Y15" t="s">
        <v>107</v>
      </c>
    </row>
    <row r="16" spans="1:25" x14ac:dyDescent="0.25">
      <c r="A16" s="136" t="s">
        <v>108</v>
      </c>
      <c r="B16" s="137"/>
      <c r="C16" s="138">
        <v>8000</v>
      </c>
      <c r="D16" s="138">
        <v>-8000</v>
      </c>
      <c r="E16" s="138"/>
      <c r="F16" s="138">
        <f t="shared" si="5"/>
        <v>0</v>
      </c>
      <c r="G16" s="110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50"/>
      <c r="U16" s="147">
        <f>SUM(H16:T16)</f>
        <v>0</v>
      </c>
      <c r="V16" s="151"/>
      <c r="W16" s="143">
        <v>0</v>
      </c>
      <c r="X16" s="144">
        <f>+F16-U16-V16</f>
        <v>0</v>
      </c>
    </row>
    <row r="17" spans="1:25" x14ac:dyDescent="0.25">
      <c r="A17" s="136" t="s">
        <v>109</v>
      </c>
      <c r="B17" s="137" t="s">
        <v>110</v>
      </c>
      <c r="C17" s="138">
        <f>204048.5</f>
        <v>204048.5</v>
      </c>
      <c r="D17" s="138"/>
      <c r="E17" s="138"/>
      <c r="F17" s="138">
        <f t="shared" si="5"/>
        <v>204048.5</v>
      </c>
      <c r="G17" s="110"/>
      <c r="H17" s="149">
        <f>49606.69+19310.35</f>
        <v>68917.040000000008</v>
      </c>
      <c r="I17" s="149"/>
      <c r="J17" s="149">
        <f>77418.75+56959.95</f>
        <v>134378.70000000001</v>
      </c>
      <c r="K17" s="149"/>
      <c r="L17" s="149"/>
      <c r="M17" s="149"/>
      <c r="N17" s="149"/>
      <c r="O17" s="149"/>
      <c r="P17" s="149"/>
      <c r="Q17" s="149"/>
      <c r="R17" s="149"/>
      <c r="S17" s="150"/>
      <c r="U17" s="147">
        <f>SUM(H17:T17)</f>
        <v>203295.74000000002</v>
      </c>
      <c r="V17" s="151"/>
      <c r="W17" s="143">
        <f>SUM(U17:V17)/F17</f>
        <v>0.99631087707089261</v>
      </c>
      <c r="X17" s="144">
        <f>+F17-U17-V17</f>
        <v>752.75999999998021</v>
      </c>
      <c r="Y17" t="s">
        <v>111</v>
      </c>
    </row>
    <row r="18" spans="1:25" x14ac:dyDescent="0.25">
      <c r="A18" s="136" t="s">
        <v>112</v>
      </c>
      <c r="B18" s="137" t="s">
        <v>113</v>
      </c>
      <c r="C18" s="138">
        <f>753273.73</f>
        <v>753273.73</v>
      </c>
      <c r="D18" s="138"/>
      <c r="E18" s="138"/>
      <c r="F18" s="138">
        <f t="shared" si="5"/>
        <v>753273.73</v>
      </c>
      <c r="G18" s="110"/>
      <c r="H18" s="149"/>
      <c r="I18" s="149"/>
      <c r="J18" s="149"/>
      <c r="K18" s="149">
        <v>67957.89</v>
      </c>
      <c r="L18" s="149">
        <v>105285.73</v>
      </c>
      <c r="M18" s="149">
        <f>18804.34+48538.22</f>
        <v>67342.559999999998</v>
      </c>
      <c r="N18" s="149"/>
      <c r="O18" s="149"/>
      <c r="P18" s="149"/>
      <c r="Q18" s="149"/>
      <c r="R18" s="149"/>
      <c r="S18" s="150"/>
      <c r="U18" s="147">
        <f>SUM(H18:T18)</f>
        <v>240586.18</v>
      </c>
      <c r="V18" s="151"/>
      <c r="W18" s="143">
        <f>SUM(U18:V18)/F18</f>
        <v>0.31938745560660931</v>
      </c>
      <c r="X18" s="144">
        <f>+F18-U18-V18</f>
        <v>512687.55</v>
      </c>
      <c r="Y18" t="s">
        <v>107</v>
      </c>
    </row>
    <row r="19" spans="1:25" ht="16.5" thickBot="1" x14ac:dyDescent="0.3">
      <c r="A19" s="136" t="s">
        <v>114</v>
      </c>
      <c r="B19" s="137"/>
      <c r="C19" s="138">
        <v>29321</v>
      </c>
      <c r="D19" s="138"/>
      <c r="E19" s="138"/>
      <c r="F19" s="138">
        <f t="shared" si="5"/>
        <v>29321</v>
      </c>
      <c r="G19" s="110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50"/>
      <c r="U19" s="147">
        <f>SUM(H19:T19)</f>
        <v>0</v>
      </c>
      <c r="V19" s="151"/>
      <c r="W19" s="143">
        <f>SUM(U19:V19)/F19</f>
        <v>0</v>
      </c>
      <c r="X19" s="144">
        <f>+F19-U19-V19</f>
        <v>29321</v>
      </c>
    </row>
    <row r="20" spans="1:25" ht="16.5" thickBot="1" x14ac:dyDescent="0.3">
      <c r="A20" s="152" t="s">
        <v>115</v>
      </c>
      <c r="B20" s="153"/>
      <c r="C20" s="154">
        <f>SUM(C15:C19)</f>
        <v>1622643.23</v>
      </c>
      <c r="D20" s="154">
        <f>SUM(D15:D19)</f>
        <v>-8000</v>
      </c>
      <c r="E20" s="154">
        <f>SUM(E15:E19)</f>
        <v>0</v>
      </c>
      <c r="F20" s="154">
        <f>SUM(F15:F19)</f>
        <v>1614643.23</v>
      </c>
      <c r="G20" s="105"/>
      <c r="H20" s="154">
        <f t="shared" ref="H20:S20" si="6">SUM(H15:H19)</f>
        <v>68917.040000000008</v>
      </c>
      <c r="I20" s="154">
        <f t="shared" si="6"/>
        <v>138160</v>
      </c>
      <c r="J20" s="154">
        <f t="shared" si="6"/>
        <v>178909.61000000002</v>
      </c>
      <c r="K20" s="154">
        <f t="shared" si="6"/>
        <v>112488.8</v>
      </c>
      <c r="L20" s="154">
        <f t="shared" si="6"/>
        <v>149816.64000000001</v>
      </c>
      <c r="M20" s="154">
        <f t="shared" si="6"/>
        <v>111873.47</v>
      </c>
      <c r="N20" s="154">
        <f t="shared" si="6"/>
        <v>0</v>
      </c>
      <c r="O20" s="154">
        <f t="shared" si="6"/>
        <v>0</v>
      </c>
      <c r="P20" s="154">
        <f t="shared" si="6"/>
        <v>0</v>
      </c>
      <c r="Q20" s="154">
        <f t="shared" si="6"/>
        <v>0</v>
      </c>
      <c r="R20" s="154">
        <f t="shared" si="6"/>
        <v>0</v>
      </c>
      <c r="S20" s="156">
        <f t="shared" si="6"/>
        <v>0</v>
      </c>
      <c r="U20" s="162">
        <f>SUM(U15:U19)</f>
        <v>760165.56</v>
      </c>
      <c r="V20" s="158">
        <f>SUM(V15:V19)</f>
        <v>0</v>
      </c>
      <c r="W20" s="159">
        <f>SUM(U20:V20)/C20</f>
        <v>0.46847362744058041</v>
      </c>
      <c r="X20" s="156">
        <f>SUM(X15:X19)</f>
        <v>854477.66999999993</v>
      </c>
    </row>
    <row r="21" spans="1:25" ht="16.5" thickBot="1" x14ac:dyDescent="0.3">
      <c r="A21" s="163" t="s">
        <v>116</v>
      </c>
      <c r="B21" s="160"/>
      <c r="C21" s="160" t="s">
        <v>87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U21" s="160" t="s">
        <v>87</v>
      </c>
      <c r="V21" s="160" t="s">
        <v>87</v>
      </c>
      <c r="W21" s="160"/>
      <c r="X21" s="161"/>
    </row>
    <row r="22" spans="1:25" x14ac:dyDescent="0.25">
      <c r="A22" s="136" t="s">
        <v>117</v>
      </c>
      <c r="B22" s="137"/>
      <c r="C22" s="138">
        <v>90000</v>
      </c>
      <c r="D22" s="138"/>
      <c r="E22" s="138"/>
      <c r="F22" s="138">
        <f t="shared" ref="F22:F27" si="7">+C22+D22+E22</f>
        <v>90000</v>
      </c>
      <c r="G22" s="117"/>
      <c r="H22" s="164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U22" s="147">
        <f t="shared" ref="U22:U27" si="8">SUM(H22:T22)</f>
        <v>0</v>
      </c>
      <c r="V22" s="151"/>
      <c r="W22" s="143">
        <f t="shared" ref="W22:W27" si="9">SUM(U22:V22)/F22</f>
        <v>0</v>
      </c>
      <c r="X22" s="144">
        <f t="shared" ref="X22:X27" si="10">+F22-U22-V22</f>
        <v>90000</v>
      </c>
    </row>
    <row r="23" spans="1:25" x14ac:dyDescent="0.25">
      <c r="A23" s="136" t="s">
        <v>118</v>
      </c>
      <c r="B23" s="137"/>
      <c r="C23" s="138">
        <v>44040</v>
      </c>
      <c r="D23" s="138"/>
      <c r="E23" s="138"/>
      <c r="F23" s="138">
        <f t="shared" si="7"/>
        <v>44040</v>
      </c>
      <c r="G23" s="117"/>
      <c r="H23" s="165">
        <v>2743.12</v>
      </c>
      <c r="I23" s="145">
        <v>3829.4</v>
      </c>
      <c r="J23" s="145">
        <v>3600.65</v>
      </c>
      <c r="K23" s="145">
        <v>3145.51</v>
      </c>
      <c r="L23" s="145">
        <v>3295.24</v>
      </c>
      <c r="M23" s="145">
        <v>2929.18</v>
      </c>
      <c r="N23" s="145"/>
      <c r="O23" s="145"/>
      <c r="P23" s="145"/>
      <c r="Q23" s="145"/>
      <c r="R23" s="145"/>
      <c r="S23" s="146"/>
      <c r="U23" s="147">
        <f t="shared" si="8"/>
        <v>19543.099999999999</v>
      </c>
      <c r="V23" s="151"/>
      <c r="W23" s="143">
        <f t="shared" si="9"/>
        <v>0.44375794732061757</v>
      </c>
      <c r="X23" s="144">
        <f t="shared" si="10"/>
        <v>24496.9</v>
      </c>
    </row>
    <row r="24" spans="1:25" x14ac:dyDescent="0.25">
      <c r="A24" s="136" t="s">
        <v>119</v>
      </c>
      <c r="B24" s="137"/>
      <c r="C24" s="138"/>
      <c r="D24" s="138"/>
      <c r="E24" s="138"/>
      <c r="F24" s="138">
        <f t="shared" si="7"/>
        <v>0</v>
      </c>
      <c r="G24" s="117"/>
      <c r="H24" s="165"/>
      <c r="I24" s="145"/>
      <c r="J24" s="145"/>
      <c r="K24" s="145">
        <v>1818.75</v>
      </c>
      <c r="L24" s="145">
        <v>900</v>
      </c>
      <c r="M24" s="145">
        <v>993.75</v>
      </c>
      <c r="N24" s="145"/>
      <c r="O24" s="145"/>
      <c r="P24" s="145"/>
      <c r="Q24" s="145"/>
      <c r="R24" s="145"/>
      <c r="S24" s="146"/>
      <c r="U24" s="147">
        <f t="shared" si="8"/>
        <v>3712.5</v>
      </c>
      <c r="V24" s="151"/>
      <c r="W24" s="143" t="e">
        <f t="shared" si="9"/>
        <v>#DIV/0!</v>
      </c>
      <c r="X24" s="144">
        <f t="shared" si="10"/>
        <v>-3712.5</v>
      </c>
    </row>
    <row r="25" spans="1:25" x14ac:dyDescent="0.25">
      <c r="A25" s="136" t="s">
        <v>130</v>
      </c>
      <c r="B25" s="137"/>
      <c r="C25" s="138"/>
      <c r="D25" s="138"/>
      <c r="E25" s="138">
        <v>30000</v>
      </c>
      <c r="F25" s="138">
        <f t="shared" ref="F25" si="11">+C25+D25+E25</f>
        <v>30000</v>
      </c>
      <c r="G25" s="117"/>
      <c r="H25" s="165"/>
      <c r="I25" s="145"/>
      <c r="J25" s="145"/>
      <c r="K25" s="145"/>
      <c r="L25" s="145"/>
      <c r="M25" s="145">
        <v>30000</v>
      </c>
      <c r="N25" s="145"/>
      <c r="O25" s="145"/>
      <c r="P25" s="145"/>
      <c r="Q25" s="145"/>
      <c r="R25" s="145"/>
      <c r="S25" s="146"/>
      <c r="U25" s="147">
        <f t="shared" si="8"/>
        <v>30000</v>
      </c>
      <c r="V25" s="151"/>
      <c r="W25" s="143">
        <f t="shared" si="9"/>
        <v>1</v>
      </c>
      <c r="X25" s="144">
        <f t="shared" si="10"/>
        <v>0</v>
      </c>
    </row>
    <row r="26" spans="1:25" x14ac:dyDescent="0.25">
      <c r="A26" s="136" t="s">
        <v>120</v>
      </c>
      <c r="B26" s="137"/>
      <c r="C26" s="138">
        <v>8000</v>
      </c>
      <c r="D26" s="138"/>
      <c r="E26" s="138"/>
      <c r="F26" s="138">
        <f t="shared" si="7"/>
        <v>8000</v>
      </c>
      <c r="G26" s="117"/>
      <c r="H26" s="16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6"/>
      <c r="U26" s="147">
        <f t="shared" si="8"/>
        <v>0</v>
      </c>
      <c r="V26" s="151"/>
      <c r="W26" s="143">
        <f t="shared" si="9"/>
        <v>0</v>
      </c>
      <c r="X26" s="144">
        <f t="shared" si="10"/>
        <v>8000</v>
      </c>
    </row>
    <row r="27" spans="1:25" ht="16.5" thickBot="1" x14ac:dyDescent="0.3">
      <c r="A27" s="136" t="s">
        <v>121</v>
      </c>
      <c r="B27" s="137"/>
      <c r="C27" s="138">
        <v>37500</v>
      </c>
      <c r="D27" s="138"/>
      <c r="E27" s="138"/>
      <c r="F27" s="138">
        <f t="shared" si="7"/>
        <v>37500</v>
      </c>
      <c r="G27" s="117"/>
      <c r="H27" s="165"/>
      <c r="I27" s="145"/>
      <c r="J27" s="145">
        <f>4166.67+4166.67+4166.67</f>
        <v>12500.01</v>
      </c>
      <c r="K27" s="145">
        <v>4166.67</v>
      </c>
      <c r="L27" s="145"/>
      <c r="M27" s="145"/>
      <c r="N27" s="145"/>
      <c r="O27" s="145"/>
      <c r="P27" s="145"/>
      <c r="Q27" s="145"/>
      <c r="R27" s="145"/>
      <c r="S27" s="146"/>
      <c r="U27" s="147">
        <f t="shared" si="8"/>
        <v>16666.68</v>
      </c>
      <c r="V27" s="166">
        <v>4166.67</v>
      </c>
      <c r="W27" s="143">
        <f t="shared" si="9"/>
        <v>0.55555599999999994</v>
      </c>
      <c r="X27" s="144">
        <f t="shared" si="10"/>
        <v>16666.650000000001</v>
      </c>
      <c r="Y27" t="s">
        <v>107</v>
      </c>
    </row>
    <row r="28" spans="1:25" ht="16.5" thickBot="1" x14ac:dyDescent="0.3">
      <c r="A28" s="152" t="s">
        <v>115</v>
      </c>
      <c r="B28" s="153"/>
      <c r="C28" s="154">
        <f>SUM(C22:C27)</f>
        <v>179540</v>
      </c>
      <c r="D28" s="154">
        <f>SUM(D22:D27)</f>
        <v>0</v>
      </c>
      <c r="E28" s="154">
        <f>SUM(E22:E27)</f>
        <v>30000</v>
      </c>
      <c r="F28" s="154">
        <f>SUM(F22:F27)</f>
        <v>209540</v>
      </c>
      <c r="G28" s="105"/>
      <c r="H28" s="158">
        <f>SUM(H22:H27)</f>
        <v>2743.12</v>
      </c>
      <c r="I28" s="154">
        <f>SUM(I22:I27)</f>
        <v>3829.4</v>
      </c>
      <c r="J28" s="154">
        <f t="shared" ref="J28:S28" si="12">SUM(J22:J27)</f>
        <v>16100.66</v>
      </c>
      <c r="K28" s="154">
        <f t="shared" si="12"/>
        <v>9130.93</v>
      </c>
      <c r="L28" s="154">
        <f t="shared" si="12"/>
        <v>4195.24</v>
      </c>
      <c r="M28" s="154">
        <f t="shared" si="12"/>
        <v>33922.93</v>
      </c>
      <c r="N28" s="154">
        <f t="shared" si="12"/>
        <v>0</v>
      </c>
      <c r="O28" s="154">
        <f t="shared" si="12"/>
        <v>0</v>
      </c>
      <c r="P28" s="154">
        <f t="shared" si="12"/>
        <v>0</v>
      </c>
      <c r="Q28" s="154">
        <f t="shared" si="12"/>
        <v>0</v>
      </c>
      <c r="R28" s="154">
        <f t="shared" si="12"/>
        <v>0</v>
      </c>
      <c r="S28" s="156">
        <f t="shared" si="12"/>
        <v>0</v>
      </c>
      <c r="U28" s="162">
        <f>SUM(U22:U27)</f>
        <v>69922.28</v>
      </c>
      <c r="V28" s="158">
        <f>SUM(V22:V27)</f>
        <v>4166.67</v>
      </c>
      <c r="W28" s="159">
        <f>SUM(U28:V28)/C28</f>
        <v>0.41265985295755819</v>
      </c>
      <c r="X28" s="162">
        <f>SUM(X22:X27)</f>
        <v>135451.04999999999</v>
      </c>
    </row>
    <row r="29" spans="1:25" ht="16.5" thickBot="1" x14ac:dyDescent="0.3">
      <c r="A29" s="167" t="s">
        <v>122</v>
      </c>
      <c r="B29" s="168"/>
      <c r="C29" s="169">
        <f>+C13+C20+C28</f>
        <v>1910143.23</v>
      </c>
      <c r="D29" s="169">
        <f>+D13+D20+D28</f>
        <v>-8000</v>
      </c>
      <c r="E29" s="169">
        <f>+E13+E20+E28</f>
        <v>30000</v>
      </c>
      <c r="F29" s="169">
        <f>+F13+F20+F28</f>
        <v>1932143.23</v>
      </c>
      <c r="G29" s="105"/>
      <c r="H29" s="158">
        <f t="shared" ref="H29:S29" si="13">+H13+H20+H28</f>
        <v>165876.16</v>
      </c>
      <c r="I29" s="169">
        <f t="shared" si="13"/>
        <v>153877.4</v>
      </c>
      <c r="J29" s="169">
        <f t="shared" si="13"/>
        <v>195010.27000000002</v>
      </c>
      <c r="K29" s="169">
        <f t="shared" si="13"/>
        <v>122351.73000000001</v>
      </c>
      <c r="L29" s="169">
        <f t="shared" si="13"/>
        <v>154011.88</v>
      </c>
      <c r="M29" s="169">
        <f t="shared" si="13"/>
        <v>146920.4</v>
      </c>
      <c r="N29" s="169">
        <f t="shared" si="13"/>
        <v>0</v>
      </c>
      <c r="O29" s="169">
        <f t="shared" si="13"/>
        <v>0</v>
      </c>
      <c r="P29" s="169">
        <f t="shared" si="13"/>
        <v>0</v>
      </c>
      <c r="Q29" s="169">
        <f t="shared" si="13"/>
        <v>0</v>
      </c>
      <c r="R29" s="169">
        <f t="shared" si="13"/>
        <v>0</v>
      </c>
      <c r="S29" s="170">
        <f t="shared" si="13"/>
        <v>0</v>
      </c>
      <c r="U29" s="162">
        <f>+U13+U20+U28</f>
        <v>938047.84000000008</v>
      </c>
      <c r="V29" s="158">
        <f>+V13+V20+V28</f>
        <v>4166.67</v>
      </c>
      <c r="W29" s="159">
        <f>SUM(U29:V29)/C29</f>
        <v>0.49326903616541895</v>
      </c>
      <c r="X29" s="162">
        <f>+X13+X20+X28</f>
        <v>989928.72</v>
      </c>
    </row>
    <row r="30" spans="1:25" ht="16.5" thickBot="1" x14ac:dyDescent="0.3">
      <c r="A30" s="20" t="s">
        <v>87</v>
      </c>
      <c r="B30" s="20"/>
      <c r="C30" s="20"/>
      <c r="D30" s="20"/>
      <c r="E30" s="20"/>
      <c r="F30" s="20"/>
      <c r="G30" s="20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U30" s="117"/>
      <c r="V30" s="117"/>
      <c r="W30" s="20"/>
      <c r="X30" s="171"/>
    </row>
    <row r="31" spans="1:25" ht="16.5" thickBot="1" x14ac:dyDescent="0.3">
      <c r="A31" s="132" t="s">
        <v>123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U31" s="133"/>
      <c r="V31" s="133"/>
      <c r="W31" s="133"/>
      <c r="X31" s="172"/>
    </row>
    <row r="32" spans="1:25" x14ac:dyDescent="0.25">
      <c r="A32" s="136" t="s">
        <v>124</v>
      </c>
      <c r="B32" s="137" t="s">
        <v>125</v>
      </c>
      <c r="C32" s="138">
        <v>102900.13</v>
      </c>
      <c r="D32" s="138"/>
      <c r="E32" s="138"/>
      <c r="F32" s="138">
        <f t="shared" ref="F32:F36" si="14">+C32+D32+E32</f>
        <v>102900.13</v>
      </c>
      <c r="G32" s="110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50"/>
      <c r="U32" s="147">
        <f>SUM(H32:T32)</f>
        <v>0</v>
      </c>
      <c r="V32" s="151"/>
      <c r="W32" s="143">
        <f>SUM(U32:V32)/F32</f>
        <v>0</v>
      </c>
      <c r="X32" s="144">
        <f>+F32-U32-V32</f>
        <v>102900.13</v>
      </c>
    </row>
    <row r="33" spans="1:24" x14ac:dyDescent="0.25">
      <c r="A33" s="136" t="s">
        <v>126</v>
      </c>
      <c r="B33" s="137" t="s">
        <v>125</v>
      </c>
      <c r="C33" s="138">
        <v>217103.05</v>
      </c>
      <c r="D33" s="138"/>
      <c r="E33" s="138"/>
      <c r="F33" s="138">
        <f t="shared" si="14"/>
        <v>217103.05</v>
      </c>
      <c r="G33" s="110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50"/>
      <c r="U33" s="147">
        <f>SUM(H33:T33)</f>
        <v>0</v>
      </c>
      <c r="V33" s="151"/>
      <c r="W33" s="143">
        <f>SUM(U33:V33)/F33</f>
        <v>0</v>
      </c>
      <c r="X33" s="144">
        <f>+F33-U33-V33</f>
        <v>217103.05</v>
      </c>
    </row>
    <row r="34" spans="1:24" x14ac:dyDescent="0.25">
      <c r="A34" s="136" t="s">
        <v>127</v>
      </c>
      <c r="B34" s="137" t="s">
        <v>125</v>
      </c>
      <c r="C34" s="138">
        <v>35004</v>
      </c>
      <c r="D34" s="138"/>
      <c r="E34" s="138"/>
      <c r="F34" s="138">
        <f t="shared" si="14"/>
        <v>35004</v>
      </c>
      <c r="G34" s="110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50"/>
      <c r="U34" s="147">
        <f>SUM(H34:T34)</f>
        <v>0</v>
      </c>
      <c r="V34" s="151"/>
      <c r="W34" s="143">
        <f>SUM(U34:V34)/F34</f>
        <v>0</v>
      </c>
      <c r="X34" s="144">
        <f>+F34-U34-V34</f>
        <v>35004</v>
      </c>
    </row>
    <row r="35" spans="1:24" x14ac:dyDescent="0.25">
      <c r="A35" s="136" t="s">
        <v>128</v>
      </c>
      <c r="B35" s="137" t="s">
        <v>125</v>
      </c>
      <c r="C35" s="138">
        <f>108000</f>
        <v>108000</v>
      </c>
      <c r="D35" s="138"/>
      <c r="E35" s="138"/>
      <c r="F35" s="138">
        <f t="shared" si="14"/>
        <v>108000</v>
      </c>
      <c r="G35" s="110"/>
      <c r="H35" s="149">
        <v>-2875.46</v>
      </c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50"/>
      <c r="U35" s="147">
        <f>SUM(H35:T35)</f>
        <v>-2875.46</v>
      </c>
      <c r="V35" s="151"/>
      <c r="W35" s="143">
        <f>SUM(U35:V35)/F35</f>
        <v>-2.662462962962963E-2</v>
      </c>
      <c r="X35" s="144">
        <f>+F35-U35-V35</f>
        <v>110875.46</v>
      </c>
    </row>
    <row r="36" spans="1:24" ht="16.5" thickBot="1" x14ac:dyDescent="0.3">
      <c r="A36" s="136" t="s">
        <v>129</v>
      </c>
      <c r="B36" s="137"/>
      <c r="C36" s="138">
        <v>27000</v>
      </c>
      <c r="D36" s="138"/>
      <c r="E36" s="138"/>
      <c r="F36" s="138">
        <f t="shared" si="14"/>
        <v>27000</v>
      </c>
      <c r="G36" s="110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50"/>
      <c r="U36" s="147">
        <f>SUM(H36:T36)</f>
        <v>0</v>
      </c>
      <c r="V36" s="151"/>
      <c r="W36" s="143">
        <f>SUM(U36:V36)/F36</f>
        <v>0</v>
      </c>
      <c r="X36" s="144">
        <f>+F36-U36-V36</f>
        <v>27000</v>
      </c>
    </row>
    <row r="37" spans="1:24" ht="16.5" thickBot="1" x14ac:dyDescent="0.3">
      <c r="A37" s="167" t="s">
        <v>122</v>
      </c>
      <c r="B37" s="168"/>
      <c r="C37" s="154">
        <f>SUM(C32:C36)+C29</f>
        <v>2400150.41</v>
      </c>
      <c r="D37" s="154">
        <f>SUM(D32:D36)+D29</f>
        <v>-8000</v>
      </c>
      <c r="E37" s="154">
        <f>SUM(E32:E36)+E29</f>
        <v>30000</v>
      </c>
      <c r="F37" s="154">
        <f>SUM(F32:F36)+F29</f>
        <v>2422150.41</v>
      </c>
      <c r="G37" s="105"/>
      <c r="H37" s="154">
        <f t="shared" ref="H37:S37" si="15">SUM(H32:H36)+H29</f>
        <v>163000.70000000001</v>
      </c>
      <c r="I37" s="154">
        <f t="shared" si="15"/>
        <v>153877.4</v>
      </c>
      <c r="J37" s="154">
        <f t="shared" si="15"/>
        <v>195010.27000000002</v>
      </c>
      <c r="K37" s="154">
        <f t="shared" si="15"/>
        <v>122351.73000000001</v>
      </c>
      <c r="L37" s="154">
        <f t="shared" si="15"/>
        <v>154011.88</v>
      </c>
      <c r="M37" s="154">
        <f t="shared" si="15"/>
        <v>146920.4</v>
      </c>
      <c r="N37" s="154">
        <f t="shared" si="15"/>
        <v>0</v>
      </c>
      <c r="O37" s="154">
        <f t="shared" si="15"/>
        <v>0</v>
      </c>
      <c r="P37" s="154">
        <f t="shared" si="15"/>
        <v>0</v>
      </c>
      <c r="Q37" s="154">
        <f t="shared" si="15"/>
        <v>0</v>
      </c>
      <c r="R37" s="154">
        <f t="shared" si="15"/>
        <v>0</v>
      </c>
      <c r="S37" s="154">
        <f t="shared" si="15"/>
        <v>0</v>
      </c>
      <c r="U37" s="154">
        <f>SUM(U32:U36)+U29</f>
        <v>935172.38000000012</v>
      </c>
      <c r="V37" s="158">
        <f>SUM(V32:V36)+V29</f>
        <v>4166.67</v>
      </c>
      <c r="W37" s="173">
        <f>SUM(U37:V37)/C37</f>
        <v>0.39136674355337592</v>
      </c>
      <c r="X37" s="174">
        <f>SUM(X32:X36)+X29</f>
        <v>1482811.3599999999</v>
      </c>
    </row>
    <row r="40" spans="1:24" ht="16.5" hidden="1" thickBot="1" x14ac:dyDescent="0.3">
      <c r="A40" s="163" t="s">
        <v>131</v>
      </c>
      <c r="B40" s="160"/>
      <c r="C40" s="160" t="s">
        <v>87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U40" s="160" t="s">
        <v>87</v>
      </c>
      <c r="V40" s="160" t="s">
        <v>87</v>
      </c>
      <c r="W40" s="160"/>
      <c r="X40" s="161"/>
    </row>
    <row r="41" spans="1:24" hidden="1" x14ac:dyDescent="0.25">
      <c r="A41" s="136" t="s">
        <v>132</v>
      </c>
      <c r="B41" s="137"/>
      <c r="C41" s="138"/>
      <c r="D41" s="175"/>
      <c r="E41" s="175"/>
      <c r="F41" s="175"/>
      <c r="G41" s="117"/>
      <c r="H41" s="164"/>
      <c r="I41" s="139">
        <v>450</v>
      </c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U41" s="147">
        <f>SUM(H41:T41)</f>
        <v>450</v>
      </c>
      <c r="V41" s="151"/>
      <c r="W41" s="143"/>
      <c r="X41" s="144">
        <f>+U41</f>
        <v>450</v>
      </c>
    </row>
    <row r="42" spans="1:24" hidden="1" x14ac:dyDescent="0.25">
      <c r="A42" s="136" t="s">
        <v>133</v>
      </c>
      <c r="B42" s="137"/>
      <c r="C42" s="138"/>
      <c r="D42" s="175"/>
      <c r="E42" s="175"/>
      <c r="F42" s="175"/>
      <c r="G42" s="110"/>
      <c r="H42" s="149">
        <v>7.0000000000000007E-2</v>
      </c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50"/>
      <c r="U42" s="147">
        <f>SUM(H42:T42)</f>
        <v>7.0000000000000007E-2</v>
      </c>
      <c r="V42" s="151"/>
      <c r="W42" s="143"/>
      <c r="X42" s="144">
        <f>+U42</f>
        <v>7.0000000000000007E-2</v>
      </c>
    </row>
    <row r="43" spans="1:24" hidden="1" x14ac:dyDescent="0.25">
      <c r="A43" s="136" t="s">
        <v>134</v>
      </c>
      <c r="B43" s="137"/>
      <c r="C43" s="138"/>
      <c r="D43" s="175"/>
      <c r="E43" s="175"/>
      <c r="F43" s="175"/>
      <c r="G43" s="110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50"/>
      <c r="U43" s="147">
        <f>SUM(H43:T43)</f>
        <v>0</v>
      </c>
      <c r="V43" s="151"/>
      <c r="W43" s="143"/>
      <c r="X43" s="144">
        <f>+U43</f>
        <v>0</v>
      </c>
    </row>
    <row r="44" spans="1:24" hidden="1" x14ac:dyDescent="0.25">
      <c r="A44" s="136" t="s">
        <v>135</v>
      </c>
      <c r="B44" s="137"/>
      <c r="C44" s="138"/>
      <c r="D44" s="175"/>
      <c r="E44" s="175"/>
      <c r="F44" s="175"/>
      <c r="G44" s="110"/>
      <c r="H44" s="149">
        <v>7.0000000000000007E-2</v>
      </c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50"/>
      <c r="U44" s="147">
        <f>SUM(H44:T44)</f>
        <v>7.0000000000000007E-2</v>
      </c>
      <c r="V44" s="151"/>
      <c r="W44" s="143"/>
      <c r="X44" s="144">
        <f>+U44</f>
        <v>7.0000000000000007E-2</v>
      </c>
    </row>
    <row r="45" spans="1:24" hidden="1" x14ac:dyDescent="0.25">
      <c r="A45" s="136" t="s">
        <v>136</v>
      </c>
      <c r="B45" s="137"/>
      <c r="C45" s="138"/>
      <c r="D45" s="175"/>
      <c r="E45" s="175"/>
      <c r="F45" s="175"/>
      <c r="G45" s="117"/>
      <c r="H45" s="165">
        <v>200</v>
      </c>
      <c r="I45" s="145">
        <v>200</v>
      </c>
      <c r="J45" s="145"/>
      <c r="K45" s="145"/>
      <c r="L45" s="145"/>
      <c r="M45" s="145"/>
      <c r="N45" s="145"/>
      <c r="O45" s="145"/>
      <c r="P45" s="145"/>
      <c r="Q45" s="145"/>
      <c r="R45" s="145"/>
      <c r="S45" s="146"/>
      <c r="U45" s="147">
        <f>SUM(H45:T45)</f>
        <v>400</v>
      </c>
      <c r="V45" s="166"/>
      <c r="W45" s="143"/>
      <c r="X45" s="144">
        <f>+U45</f>
        <v>400</v>
      </c>
    </row>
    <row r="46" spans="1:24" ht="16.5" hidden="1" thickBot="1" x14ac:dyDescent="0.3">
      <c r="A46" s="152" t="s">
        <v>137</v>
      </c>
      <c r="B46" s="153"/>
      <c r="C46" s="154"/>
      <c r="D46" s="171"/>
      <c r="E46" s="171"/>
      <c r="F46" s="171"/>
      <c r="G46" s="105"/>
      <c r="H46" s="158">
        <f t="shared" ref="H46:S46" si="16">SUM(H41:H45)</f>
        <v>200.14</v>
      </c>
      <c r="I46" s="154">
        <f t="shared" si="16"/>
        <v>650</v>
      </c>
      <c r="J46" s="154">
        <f t="shared" si="16"/>
        <v>0</v>
      </c>
      <c r="K46" s="154">
        <f t="shared" si="16"/>
        <v>0</v>
      </c>
      <c r="L46" s="154">
        <f t="shared" si="16"/>
        <v>0</v>
      </c>
      <c r="M46" s="154">
        <f t="shared" si="16"/>
        <v>0</v>
      </c>
      <c r="N46" s="154">
        <f t="shared" si="16"/>
        <v>0</v>
      </c>
      <c r="O46" s="154">
        <f t="shared" si="16"/>
        <v>0</v>
      </c>
      <c r="P46" s="154">
        <f t="shared" si="16"/>
        <v>0</v>
      </c>
      <c r="Q46" s="154">
        <f t="shared" si="16"/>
        <v>0</v>
      </c>
      <c r="R46" s="154">
        <f t="shared" si="16"/>
        <v>0</v>
      </c>
      <c r="S46" s="156">
        <f t="shared" si="16"/>
        <v>0</v>
      </c>
      <c r="U46" s="162">
        <f>SUM(U41:U45)</f>
        <v>850.14</v>
      </c>
      <c r="V46" s="158">
        <f>SUM(V41:V45)</f>
        <v>0</v>
      </c>
      <c r="W46" s="159"/>
      <c r="X46" s="162">
        <f>SUM(X41:X45)</f>
        <v>850.14</v>
      </c>
    </row>
  </sheetData>
  <mergeCells count="1">
    <mergeCell ref="A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Bank Balances</vt:lpstr>
      <vt:lpstr>Expenditures</vt:lpstr>
      <vt:lpstr>Revenue</vt:lpstr>
      <vt:lpstr>Amendment-Expenses</vt:lpstr>
      <vt:lpstr>Amendment-Revenue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Armijo</cp:lastModifiedBy>
  <dcterms:created xsi:type="dcterms:W3CDTF">2022-01-19T22:11:29Z</dcterms:created>
  <dcterms:modified xsi:type="dcterms:W3CDTF">2022-01-20T20:40:08Z</dcterms:modified>
</cp:coreProperties>
</file>